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75" windowWidth="19035" windowHeight="11760"/>
  </bookViews>
  <sheets>
    <sheet name="Bilancio Avis" sheetId="2" r:id="rId1"/>
    <sheet name="Rendiconto Gestionale" sheetId="3" r:id="rId2"/>
  </sheets>
  <definedNames>
    <definedName name="_xlnm.Print_Area" localSheetId="0">'Bilancio Avis'!$A$1:$I$141</definedName>
  </definedNames>
  <calcPr calcId="145621"/>
</workbook>
</file>

<file path=xl/calcChain.xml><?xml version="1.0" encoding="utf-8"?>
<calcChain xmlns="http://schemas.openxmlformats.org/spreadsheetml/2006/main">
  <c r="H122" i="2" l="1"/>
  <c r="H111" i="2"/>
  <c r="H106" i="2"/>
  <c r="H95" i="2"/>
  <c r="H85" i="2"/>
  <c r="H79" i="2"/>
  <c r="H78" i="2"/>
  <c r="H82" i="2" s="1"/>
  <c r="H76" i="2"/>
  <c r="H70" i="2"/>
  <c r="H69" i="2"/>
  <c r="H65" i="2"/>
  <c r="H52" i="2"/>
  <c r="H27" i="2"/>
  <c r="H5" i="2"/>
  <c r="H25" i="2"/>
  <c r="H21" i="2"/>
  <c r="H15" i="2"/>
  <c r="I122" i="2"/>
  <c r="I118" i="2"/>
  <c r="I112" i="2"/>
  <c r="I111" i="2"/>
  <c r="I106" i="2"/>
  <c r="I108" i="2" s="1"/>
  <c r="I104" i="2"/>
  <c r="I96" i="2"/>
  <c r="I95" i="2"/>
  <c r="I97" i="2" s="1"/>
  <c r="I85" i="2"/>
  <c r="I88" i="2" s="1"/>
  <c r="I79" i="2"/>
  <c r="I78" i="2"/>
  <c r="I82" i="2" s="1"/>
  <c r="I76" i="2"/>
  <c r="C10" i="3" s="1"/>
  <c r="I70" i="2"/>
  <c r="I69" i="2"/>
  <c r="I65" i="2"/>
  <c r="I62" i="2"/>
  <c r="I52" i="2"/>
  <c r="I50" i="2"/>
  <c r="I41" i="2"/>
  <c r="I27" i="2"/>
  <c r="I21" i="2"/>
  <c r="I15" i="2"/>
  <c r="I14" i="2"/>
  <c r="I5" i="2"/>
  <c r="I18" i="2" s="1"/>
  <c r="H108" i="2"/>
  <c r="H18" i="2"/>
  <c r="C98" i="3"/>
  <c r="C97" i="3" s="1"/>
  <c r="C8" i="3"/>
  <c r="C82" i="3"/>
  <c r="C62" i="3"/>
  <c r="C132" i="3"/>
  <c r="C131" i="3" s="1"/>
  <c r="H113" i="2"/>
  <c r="H88" i="2"/>
  <c r="H41" i="2"/>
  <c r="H62" i="2"/>
  <c r="H118" i="2"/>
  <c r="H104" i="2"/>
  <c r="H50" i="2"/>
  <c r="C34" i="3"/>
  <c r="C141" i="3"/>
  <c r="C120" i="3"/>
  <c r="B38" i="3"/>
  <c r="C4" i="3"/>
  <c r="C115" i="3"/>
  <c r="C127" i="3"/>
  <c r="C124" i="3"/>
  <c r="C123" i="3" s="1"/>
  <c r="C144" i="3"/>
  <c r="C143" i="3" s="1"/>
  <c r="C140" i="3"/>
  <c r="C138" i="3"/>
  <c r="C135" i="3"/>
  <c r="C119" i="3"/>
  <c r="C101" i="3"/>
  <c r="C72" i="3"/>
  <c r="C111" i="3"/>
  <c r="C110" i="3" s="1"/>
  <c r="C108" i="3"/>
  <c r="C106" i="3"/>
  <c r="C91" i="3"/>
  <c r="C90" i="3" s="1"/>
  <c r="C88" i="3"/>
  <c r="C85" i="3" s="1"/>
  <c r="C81" i="3"/>
  <c r="C80" i="3"/>
  <c r="C51" i="3"/>
  <c r="C60" i="3"/>
  <c r="C58" i="3"/>
  <c r="C55" i="3"/>
  <c r="C54" i="3" s="1"/>
  <c r="C49" i="3"/>
  <c r="C47" i="3"/>
  <c r="C45" i="3"/>
  <c r="C44" i="3"/>
  <c r="C43" i="3"/>
  <c r="C42" i="3"/>
  <c r="C41" i="3"/>
  <c r="C20" i="3"/>
  <c r="C17" i="3"/>
  <c r="C14" i="3"/>
  <c r="C29" i="3"/>
  <c r="C9" i="3"/>
  <c r="C6" i="3"/>
  <c r="B99" i="2"/>
  <c r="A99" i="2"/>
  <c r="B57" i="2"/>
  <c r="A57" i="2"/>
  <c r="B35" i="2"/>
  <c r="A35" i="2"/>
  <c r="I113" i="2" l="1"/>
  <c r="I55" i="2"/>
  <c r="I77" i="2"/>
  <c r="I123" i="2" s="1"/>
  <c r="I125" i="2" s="1"/>
  <c r="I33" i="2"/>
  <c r="H55" i="2"/>
  <c r="C7" i="3"/>
  <c r="C11" i="3"/>
  <c r="C118" i="3"/>
  <c r="H33" i="2"/>
  <c r="H97" i="2"/>
  <c r="C5" i="3"/>
  <c r="C79" i="3"/>
  <c r="H77" i="2"/>
  <c r="C105" i="3"/>
  <c r="C57" i="3"/>
  <c r="C12" i="3"/>
  <c r="C27" i="3"/>
  <c r="C40" i="3"/>
  <c r="C134" i="3"/>
  <c r="C146" i="3" l="1"/>
  <c r="C64" i="3"/>
  <c r="H123" i="2"/>
  <c r="H125" i="2" s="1"/>
  <c r="C3" i="3"/>
  <c r="C113" i="3"/>
  <c r="C37" i="3"/>
  <c r="C65" i="3"/>
  <c r="C36" i="3"/>
</calcChain>
</file>

<file path=xl/comments1.xml><?xml version="1.0" encoding="utf-8"?>
<comments xmlns="http://schemas.openxmlformats.org/spreadsheetml/2006/main">
  <authors>
    <author>Andrea</author>
  </authors>
  <commentList>
    <comment ref="A1" authorId="0">
      <text>
        <r>
          <rPr>
            <sz val="10"/>
            <color indexed="81"/>
            <rFont val="Tahoma"/>
            <family val="2"/>
          </rPr>
          <t>Inserire il proprio codice sezione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inserire la denominazione della prpria sede Avis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<sst xmlns="http://schemas.openxmlformats.org/spreadsheetml/2006/main" count="426" uniqueCount="396">
  <si>
    <t>Rendiconto Gestionale ORGANIZZAZIONI DI VOLONTARIATO (L. 266/91)</t>
  </si>
  <si>
    <t>Oneri da attività tipica legge L. 266/91</t>
  </si>
  <si>
    <t>Acquisti di beni e merci</t>
  </si>
  <si>
    <t>Acquisti di servizi</t>
  </si>
  <si>
    <t>Godimento beni di terzi</t>
  </si>
  <si>
    <t>Personale dipendente ed assimilato</t>
  </si>
  <si>
    <t>Personale autonomo e collaboratori</t>
  </si>
  <si>
    <t>Assicurazione volontari</t>
  </si>
  <si>
    <t>Rimborso spese volontari</t>
  </si>
  <si>
    <t>Ammortamenti ed accantonamenti</t>
  </si>
  <si>
    <t>Oneri diversi di gestione comprese imposte</t>
  </si>
  <si>
    <t>Oneri promozionali e di raccolta pubblica di fondi</t>
  </si>
  <si>
    <t>Attività ordinaria di promozione</t>
  </si>
  <si>
    <t>Oneri da attività accessoria</t>
  </si>
  <si>
    <t>da attività marginali ex legge 266/91</t>
  </si>
  <si>
    <t>Oneri finanziari e patrimoniali</t>
  </si>
  <si>
    <t>Su rapporti bancari</t>
  </si>
  <si>
    <t>Su prestiti</t>
  </si>
  <si>
    <t>Da patrimonio edilizio</t>
  </si>
  <si>
    <t>Da altri beni patrimoniali</t>
  </si>
  <si>
    <t>Oneri straordinari</t>
  </si>
  <si>
    <t>Oneri di supporto generale</t>
  </si>
  <si>
    <t>Risultato gestionale positivo</t>
  </si>
  <si>
    <t>Proventi da attività legge 266/91</t>
  </si>
  <si>
    <t>Contributi da Enti Pubblici</t>
  </si>
  <si>
    <t>Convenzioni legge 266 con enti pubblici</t>
  </si>
  <si>
    <t>Quote sociali</t>
  </si>
  <si>
    <t>Donazioni ed erogazioni liberali</t>
  </si>
  <si>
    <t>Lasciti ed eredità</t>
  </si>
  <si>
    <t>Donazioni in natura di beni</t>
  </si>
  <si>
    <t>Contributo 5 per mille</t>
  </si>
  <si>
    <t>Contributi privati da enti erogatori</t>
  </si>
  <si>
    <t>Altri proventi tipici L. 266/91</t>
  </si>
  <si>
    <t>Proventi da raccolta pubblica fondi</t>
  </si>
  <si>
    <t>Altre entrate di natura promozionale</t>
  </si>
  <si>
    <t>Proventi da attività accessoria</t>
  </si>
  <si>
    <t>Proventi finanziari e patrimoniali</t>
  </si>
  <si>
    <t>Da rapporti bancari</t>
  </si>
  <si>
    <t>Da altri investimenti finanziari</t>
  </si>
  <si>
    <t>Da proventi straordinari</t>
  </si>
  <si>
    <t>Risultato gestionale negativo</t>
  </si>
  <si>
    <t>0A</t>
  </si>
  <si>
    <t>Quote associative ancora da versare</t>
  </si>
  <si>
    <t>0A.0</t>
  </si>
  <si>
    <t>1A</t>
  </si>
  <si>
    <t>I - Immobilizzazioni immateriali</t>
  </si>
  <si>
    <t>1A.1</t>
  </si>
  <si>
    <t>costi di ricerca, sviluppo e di pubblicità</t>
  </si>
  <si>
    <t>1A.2</t>
  </si>
  <si>
    <t>diritti di brevetto industriale e diritti di utilizzazione delle opere dell'ingegno</t>
  </si>
  <si>
    <t>1A.3</t>
  </si>
  <si>
    <t>spese manutenzioni da ammortizzare</t>
  </si>
  <si>
    <t>1A.4</t>
  </si>
  <si>
    <t>oneri pluriennali</t>
  </si>
  <si>
    <t>1A.5</t>
  </si>
  <si>
    <t>altre</t>
  </si>
  <si>
    <t>2A</t>
  </si>
  <si>
    <t>II - Immobilizzazioni materiali</t>
  </si>
  <si>
    <t>2A.1</t>
  </si>
  <si>
    <t>terreni e fabbricati</t>
  </si>
  <si>
    <t>2A.2</t>
  </si>
  <si>
    <t>impianti e attrezzature</t>
  </si>
  <si>
    <t>2A.3</t>
  </si>
  <si>
    <t>altri beni</t>
  </si>
  <si>
    <t>2A.4</t>
  </si>
  <si>
    <t>Immobilizzazioni in corso e acconti</t>
  </si>
  <si>
    <t>3A</t>
  </si>
  <si>
    <t>III - Immobilizzazioni finanziarie</t>
  </si>
  <si>
    <t>3A.1</t>
  </si>
  <si>
    <t>partecipazioni</t>
  </si>
  <si>
    <t>3A.2</t>
  </si>
  <si>
    <t>3A.3</t>
  </si>
  <si>
    <t>altri titoli</t>
  </si>
  <si>
    <t>4A</t>
  </si>
  <si>
    <t>I - Rimanenze</t>
  </si>
  <si>
    <t>4A.1</t>
  </si>
  <si>
    <t>materie prime, sussidiarie, e di consumo</t>
  </si>
  <si>
    <t>4A.2</t>
  </si>
  <si>
    <t>prodotti in corso di lavorazione e semilavorati</t>
  </si>
  <si>
    <t>4A.3</t>
  </si>
  <si>
    <t>lavori in corso su ordinazione</t>
  </si>
  <si>
    <t>4A.4</t>
  </si>
  <si>
    <t>prodotti finiti e merci</t>
  </si>
  <si>
    <t>4A.5</t>
  </si>
  <si>
    <t>acconti</t>
  </si>
  <si>
    <t>5A</t>
  </si>
  <si>
    <t>II - Crediti</t>
  </si>
  <si>
    <t>5A.1</t>
  </si>
  <si>
    <t>5A.2</t>
  </si>
  <si>
    <t>6A</t>
  </si>
  <si>
    <t>III - Attività finanaziarie non immobilizzate</t>
  </si>
  <si>
    <t>6A.1</t>
  </si>
  <si>
    <t>6A.2</t>
  </si>
  <si>
    <t>7A</t>
  </si>
  <si>
    <t>IV - Disponibilità liquide</t>
  </si>
  <si>
    <t>7A.1</t>
  </si>
  <si>
    <t>depositi bancari e postali</t>
  </si>
  <si>
    <t>7A.2</t>
  </si>
  <si>
    <t>assegni</t>
  </si>
  <si>
    <t>7A.3</t>
  </si>
  <si>
    <t>denaro e valori in cassa</t>
  </si>
  <si>
    <t>8A</t>
  </si>
  <si>
    <t>Ratei e risconti</t>
  </si>
  <si>
    <t>8A.1</t>
  </si>
  <si>
    <t>Totale attivo</t>
  </si>
  <si>
    <t>1PA</t>
  </si>
  <si>
    <t>I - Fondo di dotazione dell'ente</t>
  </si>
  <si>
    <t>1PA.1</t>
  </si>
  <si>
    <t>2PA</t>
  </si>
  <si>
    <t>II - Patrimonio vincolato</t>
  </si>
  <si>
    <t>2PA.1</t>
  </si>
  <si>
    <t>riserve statutarie</t>
  </si>
  <si>
    <t>2PA.2</t>
  </si>
  <si>
    <t>fondi vincolati per decisione degli organi istituzionali</t>
  </si>
  <si>
    <t>2PA.3</t>
  </si>
  <si>
    <t>fondi vincolati destinati da terzi</t>
  </si>
  <si>
    <t>3PA</t>
  </si>
  <si>
    <t>III - Patrimonio libero</t>
  </si>
  <si>
    <t>3PA.1</t>
  </si>
  <si>
    <t>risultato gestionale esercizio in corso</t>
  </si>
  <si>
    <t>3PA.2</t>
  </si>
  <si>
    <t>riserve accantonate negli esercizi precedenti</t>
  </si>
  <si>
    <t>4PA</t>
  </si>
  <si>
    <t>I - Fondi per rischi e oneri</t>
  </si>
  <si>
    <t>4PA.1</t>
  </si>
  <si>
    <t>per trattamento di quiescenza e obblighi simili</t>
  </si>
  <si>
    <t>4PA.2</t>
  </si>
  <si>
    <t>altri</t>
  </si>
  <si>
    <t>5PA</t>
  </si>
  <si>
    <t>I - Trattamento di fine rapporto lavoro subordinato</t>
  </si>
  <si>
    <t>5PA.1</t>
  </si>
  <si>
    <t>6PA</t>
  </si>
  <si>
    <t>I - Debiti</t>
  </si>
  <si>
    <t>6PA.1</t>
  </si>
  <si>
    <t>debiti verso banche esigibili oltre l'esercizio successivo</t>
  </si>
  <si>
    <t>6PA.2</t>
  </si>
  <si>
    <t>debiti verso altri finanziatori esigibili oltre l'esercizio successivo</t>
  </si>
  <si>
    <t>6PA.3</t>
  </si>
  <si>
    <t>acconti di cui esigibili oltre l'esercizio successivo</t>
  </si>
  <si>
    <t>6PA.4</t>
  </si>
  <si>
    <t>debiti verso fornitori di cui esigibili oltre l'esercizio successivo</t>
  </si>
  <si>
    <t>6PA.5</t>
  </si>
  <si>
    <t>debiti tributari di cui esigibili oltre l'esercizio successivo</t>
  </si>
  <si>
    <t>6PA.6</t>
  </si>
  <si>
    <t>debiti verso istituti di previdenza e di sicurezza sociale di cui esigibili oltre l'esercizio successivo</t>
  </si>
  <si>
    <t>6PA.7</t>
  </si>
  <si>
    <t>altri debiti esigibili oltre l'esercizio successivo</t>
  </si>
  <si>
    <t>7PA</t>
  </si>
  <si>
    <t>7PA.1</t>
  </si>
  <si>
    <t>Totale passivo</t>
  </si>
  <si>
    <t>Cod Sez</t>
  </si>
  <si>
    <t>SP0001</t>
  </si>
  <si>
    <t>SP0002</t>
  </si>
  <si>
    <t>A T T I V I T A'</t>
  </si>
  <si>
    <t>Importi in Euro</t>
  </si>
  <si>
    <t>SP0301</t>
  </si>
  <si>
    <t>Beni Immobili</t>
  </si>
  <si>
    <t>SP0501</t>
  </si>
  <si>
    <t>Automezzi</t>
  </si>
  <si>
    <t>SP0401</t>
  </si>
  <si>
    <t>Attrezzature ed apparecchiature</t>
  </si>
  <si>
    <t>SP0402</t>
  </si>
  <si>
    <t>Mobili - Arredi - Macchine d'ufficio</t>
  </si>
  <si>
    <t>SP0601</t>
  </si>
  <si>
    <t>Materiale in giacenza al 31.12</t>
  </si>
  <si>
    <t>SP0103</t>
  </si>
  <si>
    <t>Titoli</t>
  </si>
  <si>
    <t>SP0102</t>
  </si>
  <si>
    <t>Banca e Posta</t>
  </si>
  <si>
    <t>SP0101</t>
  </si>
  <si>
    <t>Cassa e valori bollati</t>
  </si>
  <si>
    <t>SP0201</t>
  </si>
  <si>
    <t>SP0202</t>
  </si>
  <si>
    <t>SP0302</t>
  </si>
  <si>
    <t>Ristrutturazione sede su immobili non di proprietà</t>
  </si>
  <si>
    <t>SP0701</t>
  </si>
  <si>
    <t>Ratei e risconti attivi</t>
  </si>
  <si>
    <t>SP0605</t>
  </si>
  <si>
    <t>Disavanzo di esercizio</t>
  </si>
  <si>
    <t>SP0003</t>
  </si>
  <si>
    <t xml:space="preserve">Totale attività    </t>
  </si>
  <si>
    <t>SP0004</t>
  </si>
  <si>
    <t>P A S S I V I T A'</t>
  </si>
  <si>
    <t>SP1201</t>
  </si>
  <si>
    <t>Debiti verso il personale dipendente</t>
  </si>
  <si>
    <t>SP1202</t>
  </si>
  <si>
    <t>Debiti verso Enti previdenziali - Assistenziali - Erario</t>
  </si>
  <si>
    <t>SP1203</t>
  </si>
  <si>
    <t>Debiti verso Banche o altri Istituti di credito</t>
  </si>
  <si>
    <t>SP1204</t>
  </si>
  <si>
    <t xml:space="preserve">Debiti verso Società Assicuratrici      </t>
  </si>
  <si>
    <t>SP1205</t>
  </si>
  <si>
    <t xml:space="preserve">Debiti verso AVIS   </t>
  </si>
  <si>
    <t>SP1206</t>
  </si>
  <si>
    <t>Altri debiti</t>
  </si>
  <si>
    <t>SP1401</t>
  </si>
  <si>
    <t>Fondo T.F.R.</t>
  </si>
  <si>
    <t>SP1301</t>
  </si>
  <si>
    <t>Fondi Ammortamento (attrezzature - apparecchiature- immobili)</t>
  </si>
  <si>
    <t>SP1101</t>
  </si>
  <si>
    <t>SP1701</t>
  </si>
  <si>
    <t>Ratei e risconti passivi</t>
  </si>
  <si>
    <t>SP1403</t>
  </si>
  <si>
    <t>SP1404</t>
  </si>
  <si>
    <t>SP1405</t>
  </si>
  <si>
    <t>Avanzo d'esercizio</t>
  </si>
  <si>
    <t>SP0005</t>
  </si>
  <si>
    <t xml:space="preserve">Totale passività    </t>
  </si>
  <si>
    <t>CE0001</t>
  </si>
  <si>
    <t>CE0002</t>
  </si>
  <si>
    <t>E N T R A T E</t>
  </si>
  <si>
    <t>CE2701</t>
  </si>
  <si>
    <t>Proventi attività trasfusionale: a) da strutture Osped. pubbliche</t>
  </si>
  <si>
    <t>CE2801</t>
  </si>
  <si>
    <t xml:space="preserve">                                                      b) da strutture Osped. Private</t>
  </si>
  <si>
    <t>CE2702</t>
  </si>
  <si>
    <t>CE0003</t>
  </si>
  <si>
    <t>Totale proventi da attività trasfusionale</t>
  </si>
  <si>
    <t>CE2601</t>
  </si>
  <si>
    <t xml:space="preserve">Ricavi da fonte pubblica: contributi da Enti a fondo perduto </t>
  </si>
  <si>
    <t>CE2802</t>
  </si>
  <si>
    <t>Ricavi da fonte privata: a) proventi da attività marginali</t>
  </si>
  <si>
    <t>CE2901</t>
  </si>
  <si>
    <t xml:space="preserve">                                          b) ricavi da attività di raccolta fondi</t>
  </si>
  <si>
    <t>CE3001</t>
  </si>
  <si>
    <t xml:space="preserve">                                          c) eredità - donazioni - contributi e oblazioni</t>
  </si>
  <si>
    <t>CE3101</t>
  </si>
  <si>
    <t xml:space="preserve">                                          d) quote associative</t>
  </si>
  <si>
    <t>CE3201</t>
  </si>
  <si>
    <t xml:space="preserve">                                          e) ricavi patrimoniali (affitti e rendite)</t>
  </si>
  <si>
    <t>CE3301</t>
  </si>
  <si>
    <t xml:space="preserve">                                          f) altri</t>
  </si>
  <si>
    <t>CE3401</t>
  </si>
  <si>
    <t xml:space="preserve">                                          g) Contributi da 5‰</t>
  </si>
  <si>
    <t>CE0004</t>
  </si>
  <si>
    <t>Totale ricavi da fonte privata</t>
  </si>
  <si>
    <t>CE3202</t>
  </si>
  <si>
    <t>Interessi attivi</t>
  </si>
  <si>
    <t>CE3302</t>
  </si>
  <si>
    <t>Entrate varie</t>
  </si>
  <si>
    <t>CE3303</t>
  </si>
  <si>
    <t>Giacenze Finali</t>
  </si>
  <si>
    <t>CE3304</t>
  </si>
  <si>
    <t>Utilizzo dei Fondi di accantonamento</t>
  </si>
  <si>
    <t>CE0005</t>
  </si>
  <si>
    <t>Totale entrate</t>
  </si>
  <si>
    <t>CE0006</t>
  </si>
  <si>
    <t>U S C I T E</t>
  </si>
  <si>
    <t>CE2401</t>
  </si>
  <si>
    <t>Spese  per Quote associative: a) ad AVIS Nazionale</t>
  </si>
  <si>
    <t>CE2402</t>
  </si>
  <si>
    <t>CE2403</t>
  </si>
  <si>
    <t>CE0007</t>
  </si>
  <si>
    <t>Totale spese per quote associative</t>
  </si>
  <si>
    <t>CE2301</t>
  </si>
  <si>
    <t xml:space="preserve">Materiale in giacenza all’1/1       </t>
  </si>
  <si>
    <t>CE2302</t>
  </si>
  <si>
    <t>Spese generali :  a) Affitto</t>
  </si>
  <si>
    <t>CE2303</t>
  </si>
  <si>
    <t xml:space="preserve">                               b) Riscaldamento - acqua - illuminazione</t>
  </si>
  <si>
    <t>CE2304</t>
  </si>
  <si>
    <t xml:space="preserve">                               c) Pulizia locali</t>
  </si>
  <si>
    <t>CE2305</t>
  </si>
  <si>
    <t xml:space="preserve">                               d) Rifiuti solidi urbani </t>
  </si>
  <si>
    <t>CE2306</t>
  </si>
  <si>
    <t xml:space="preserve">                               e) Bancarie </t>
  </si>
  <si>
    <t>CE2307</t>
  </si>
  <si>
    <t>CE2308</t>
  </si>
  <si>
    <t xml:space="preserve">                               g) Postali e telegrafiche</t>
  </si>
  <si>
    <t>CE2309</t>
  </si>
  <si>
    <t xml:space="preserve">                               h) Cancelleria e stampati</t>
  </si>
  <si>
    <t>CE2310</t>
  </si>
  <si>
    <t>CE2311</t>
  </si>
  <si>
    <t xml:space="preserve">                               l) Assicurazione infortuni e R.C. Soci</t>
  </si>
  <si>
    <t>CE2312</t>
  </si>
  <si>
    <t xml:space="preserve">                               m) Assicurazione automezzi</t>
  </si>
  <si>
    <t>CE2313</t>
  </si>
  <si>
    <t>CE2314</t>
  </si>
  <si>
    <t>CE0008</t>
  </si>
  <si>
    <t>Totale spese generali</t>
  </si>
  <si>
    <t>CE2001</t>
  </si>
  <si>
    <t>Spese Personale: a) Retribuzioni</t>
  </si>
  <si>
    <t>CE2002</t>
  </si>
  <si>
    <t>CE2003</t>
  </si>
  <si>
    <t>CE2004</t>
  </si>
  <si>
    <t>CE0009</t>
  </si>
  <si>
    <t>Totale spese per il personale</t>
  </si>
  <si>
    <t>CE2404</t>
  </si>
  <si>
    <t xml:space="preserve">Spese sanitarie: a) Materiale sanitario  </t>
  </si>
  <si>
    <t>CE2405</t>
  </si>
  <si>
    <t xml:space="preserve">                              b) Visite mediche</t>
  </si>
  <si>
    <t>CE2406</t>
  </si>
  <si>
    <t xml:space="preserve">                              c) Prestazioni profess.li (medici-altro person.san.) </t>
  </si>
  <si>
    <t>CE2407</t>
  </si>
  <si>
    <t xml:space="preserve">                              d) Raccolte collettive (rimb. Spese Avis Comunali)</t>
  </si>
  <si>
    <t>CE2408</t>
  </si>
  <si>
    <t xml:space="preserve">                              e) Altri oneri della raccolta</t>
  </si>
  <si>
    <t>CE0010</t>
  </si>
  <si>
    <t>Totale spese sanitarie</t>
  </si>
  <si>
    <t>CE2409</t>
  </si>
  <si>
    <t>Spese Propaganda: a)  Abbonamenti a periodici</t>
  </si>
  <si>
    <t>CE2410</t>
  </si>
  <si>
    <t xml:space="preserve">                                   b) Numeri unici e opuscoli</t>
  </si>
  <si>
    <t>CE2411</t>
  </si>
  <si>
    <t xml:space="preserve">                                   c) Manifesti ed inserzioni pubblicitarie</t>
  </si>
  <si>
    <t>CE2412</t>
  </si>
  <si>
    <t xml:space="preserve">                                   d) Diapositive e filmati</t>
  </si>
  <si>
    <t>CE2413</t>
  </si>
  <si>
    <t xml:space="preserve">                                   e) Materiale di propaganda</t>
  </si>
  <si>
    <t>CE2414</t>
  </si>
  <si>
    <t xml:space="preserve">                                   f) Organizzazione Tavole rot.- Convegni- Seminari</t>
  </si>
  <si>
    <t>CE2415</t>
  </si>
  <si>
    <t xml:space="preserve">                                   g) Feste sociali e benemerenze</t>
  </si>
  <si>
    <t>CE2416</t>
  </si>
  <si>
    <t xml:space="preserve">                                   h) Contributi e omaggi</t>
  </si>
  <si>
    <t>CE0011</t>
  </si>
  <si>
    <t>Totale spese per la propaganda</t>
  </si>
  <si>
    <t>CE0012</t>
  </si>
  <si>
    <t>CE2101</t>
  </si>
  <si>
    <t>Spese rappres.tanza: a) Partec.ne Assemblee (Com. Prov. Reg. Naz.)</t>
  </si>
  <si>
    <t>CE2102</t>
  </si>
  <si>
    <t xml:space="preserve">                                      b) Partecipazione Manifestazioni AVIS</t>
  </si>
  <si>
    <t>CE2103</t>
  </si>
  <si>
    <t xml:space="preserve">                                      c) Partecipazione Tavole rot.- Convegni- Semin. </t>
  </si>
  <si>
    <t>CE0013</t>
  </si>
  <si>
    <t>Totale spese di rappresentanza</t>
  </si>
  <si>
    <t>CE2501</t>
  </si>
  <si>
    <t>Spese manutenzione: a) Automezzi</t>
  </si>
  <si>
    <t>CE2502</t>
  </si>
  <si>
    <t xml:space="preserve">                                       b) Attrezzature e apparecchiature </t>
  </si>
  <si>
    <t>CE2503</t>
  </si>
  <si>
    <t xml:space="preserve">                                       c) Sede - ristrutturazione - trasferimento</t>
  </si>
  <si>
    <t>CE0014</t>
  </si>
  <si>
    <t>Totale spese di manutenzione</t>
  </si>
  <si>
    <t>CE2504</t>
  </si>
  <si>
    <t>Quota Ammortamenti: a) Automezzi</t>
  </si>
  <si>
    <t>CE2505</t>
  </si>
  <si>
    <t xml:space="preserve">                                       b) Attrezzature e apparecchiature</t>
  </si>
  <si>
    <t>CE2506</t>
  </si>
  <si>
    <t xml:space="preserve">                                       c) Mobili e arredi</t>
  </si>
  <si>
    <t>CE0015</t>
  </si>
  <si>
    <t>Totale quote ammortamento</t>
  </si>
  <si>
    <t>CE2104</t>
  </si>
  <si>
    <t>Quota accantonamenti: a) Attività statutarie</t>
  </si>
  <si>
    <t>CE2507</t>
  </si>
  <si>
    <t xml:space="preserve">                                          b) Acquisti automezzi e attrezzature</t>
  </si>
  <si>
    <t>CE2508</t>
  </si>
  <si>
    <t xml:space="preserve">                                          c) Acquisti apparecchiature- mobili ed arredi</t>
  </si>
  <si>
    <t>CE2509</t>
  </si>
  <si>
    <t xml:space="preserve">                                          d) Vari</t>
  </si>
  <si>
    <t>CE0016</t>
  </si>
  <si>
    <t>Totale accantonamenti</t>
  </si>
  <si>
    <t>CE2005</t>
  </si>
  <si>
    <t xml:space="preserve">Spese per consulenze e prestazioni professionali più oneri </t>
  </si>
  <si>
    <t>CE2006</t>
  </si>
  <si>
    <t>Spese gestione chiamata donatori delegata</t>
  </si>
  <si>
    <t>CE2703</t>
  </si>
  <si>
    <t>Rimborsi trasfusionali alle AVIS di base</t>
  </si>
  <si>
    <t>CE2315</t>
  </si>
  <si>
    <t>Sopravvenienze passive e spese varie</t>
  </si>
  <si>
    <t>CE0017</t>
  </si>
  <si>
    <t>Totale uscite</t>
  </si>
  <si>
    <t>dall’Assemblea dei Soci tenutasi il giorno</t>
  </si>
  <si>
    <t xml:space="preserve">      I Componenti del Collegio                                              Il Presidente del Collegio</t>
  </si>
  <si>
    <t xml:space="preserve">           Il Tesoriere                                                                        Il Presidente</t>
  </si>
  <si>
    <t>Crediti di cui esigibili entro l'esercizio successivo</t>
  </si>
  <si>
    <t>verso clienti di cui esigibili oltre l'esercizio successivo</t>
  </si>
  <si>
    <t>verso altri di cui esigibili oltre l'esercizio successivo</t>
  </si>
  <si>
    <t>ONERI</t>
  </si>
  <si>
    <t>PROVENTI</t>
  </si>
  <si>
    <t>Patrimonio Indisponibile (Personalità Giuridica)</t>
  </si>
  <si>
    <t>Accantonamenti vari (riserve - fondi spese - ecc. )</t>
  </si>
  <si>
    <t>Stato patrimoniale secondo gli schemi dell'Agenzia del Terzo Settore</t>
  </si>
  <si>
    <t>Totale Oneri</t>
  </si>
  <si>
    <t>Totale Proventi</t>
  </si>
  <si>
    <t xml:space="preserve">                                                      c) da strutture associative</t>
  </si>
  <si>
    <t xml:space="preserve">                                                      b) ad AVIS Regionale</t>
  </si>
  <si>
    <t xml:space="preserve">                                                      c) ad AVIS Provinciale       </t>
  </si>
  <si>
    <t xml:space="preserve">                               f) Telefono</t>
  </si>
  <si>
    <t xml:space="preserve">                               n) Assicurazione Sede</t>
  </si>
  <si>
    <t xml:space="preserve">                               o) Rimborso spese viaggi</t>
  </si>
  <si>
    <t xml:space="preserve">                                b) Quota trattamento fine rapporto (T.F.R.)</t>
  </si>
  <si>
    <t xml:space="preserve">                                c) Contributi previdenziali</t>
  </si>
  <si>
    <t xml:space="preserve">                                d) IRAP</t>
  </si>
  <si>
    <t>Crediti:  a) nei confronti di AVIS</t>
  </si>
  <si>
    <t xml:space="preserve">               b) nei confronti di altri</t>
  </si>
  <si>
    <t xml:space="preserve">                               i) Attrezzature - apparecchiature - mobili e arredi</t>
  </si>
  <si>
    <t xml:space="preserve">Avis Comunale di Brescia </t>
  </si>
  <si>
    <t>AVANZO DI ESERCIZIO</t>
  </si>
  <si>
    <t>Beni Immateriali</t>
  </si>
  <si>
    <t xml:space="preserve">                                       d) Immobilizzazioni Immateriali</t>
  </si>
  <si>
    <t>STATO PATRIMONIALE AL 31/12/2014</t>
  </si>
  <si>
    <t>CONTO ECONOMICO AL 31/12/2014</t>
  </si>
  <si>
    <t xml:space="preserve">Il Bilancio Consuntivo 2015 e lo Stato Patrimoniale al 31/12/2015 sono stati approvati </t>
  </si>
  <si>
    <t>Il Collegio dei Revisori certifica la regolarità del presente Bilancio Consuntivo 2015</t>
  </si>
  <si>
    <t>e Stato Patrimoniale al 31/12/2015.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</si>
</sst>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4"/>
      <name val="Arial Black"/>
      <family val="2"/>
    </font>
    <font>
      <b/>
      <i/>
      <sz val="16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46"/>
      <name val="Calibri"/>
      <family val="2"/>
    </font>
    <font>
      <b/>
      <sz val="12"/>
      <name val="Calibri"/>
      <family val="2"/>
    </font>
    <font>
      <sz val="11"/>
      <color indexed="4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 hidden="1"/>
    </xf>
    <xf numFmtId="0" fontId="13" fillId="0" borderId="0" xfId="0" applyFont="1" applyFill="1"/>
    <xf numFmtId="4" fontId="13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Protection="1"/>
    <xf numFmtId="4" fontId="13" fillId="0" borderId="5" xfId="0" applyNumberFormat="1" applyFont="1" applyFill="1" applyBorder="1" applyProtection="1">
      <protection locked="0"/>
    </xf>
    <xf numFmtId="4" fontId="13" fillId="0" borderId="2" xfId="0" applyNumberFormat="1" applyFont="1" applyFill="1" applyBorder="1" applyProtection="1"/>
    <xf numFmtId="0" fontId="13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Protection="1"/>
    <xf numFmtId="0" fontId="13" fillId="0" borderId="0" xfId="0" applyFont="1" applyFill="1" applyProtection="1"/>
    <xf numFmtId="4" fontId="13" fillId="0" borderId="0" xfId="0" applyNumberFormat="1" applyFont="1" applyFill="1" applyProtection="1"/>
    <xf numFmtId="0" fontId="1" fillId="0" borderId="1" xfId="0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vertical="center"/>
    </xf>
    <xf numFmtId="4" fontId="13" fillId="0" borderId="11" xfId="0" applyNumberFormat="1" applyFont="1" applyFill="1" applyBorder="1" applyProtection="1">
      <protection locked="0"/>
    </xf>
    <xf numFmtId="0" fontId="13" fillId="0" borderId="12" xfId="0" applyFont="1" applyFill="1" applyBorder="1" applyProtection="1"/>
    <xf numFmtId="4" fontId="13" fillId="0" borderId="13" xfId="0" applyNumberFormat="1" applyFont="1" applyFill="1" applyBorder="1" applyProtection="1"/>
    <xf numFmtId="0" fontId="13" fillId="0" borderId="14" xfId="0" applyFont="1" applyFill="1" applyBorder="1" applyProtection="1"/>
    <xf numFmtId="4" fontId="13" fillId="0" borderId="15" xfId="0" applyNumberFormat="1" applyFont="1" applyFill="1" applyBorder="1" applyProtection="1">
      <protection locked="0"/>
    </xf>
    <xf numFmtId="0" fontId="13" fillId="0" borderId="16" xfId="0" applyFont="1" applyFill="1" applyBorder="1" applyProtection="1"/>
    <xf numFmtId="0" fontId="13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Protection="1"/>
    <xf numFmtId="0" fontId="13" fillId="0" borderId="8" xfId="0" applyFont="1" applyFill="1" applyBorder="1" applyAlignment="1" applyProtection="1">
      <alignment wrapText="1"/>
      <protection locked="0"/>
    </xf>
    <xf numFmtId="0" fontId="13" fillId="0" borderId="17" xfId="0" applyFont="1" applyFill="1" applyBorder="1" applyAlignment="1" applyProtection="1">
      <alignment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</xf>
    <xf numFmtId="4" fontId="13" fillId="0" borderId="19" xfId="0" applyNumberFormat="1" applyFont="1" applyFill="1" applyBorder="1" applyProtection="1">
      <protection locked="0"/>
    </xf>
    <xf numFmtId="4" fontId="13" fillId="0" borderId="20" xfId="0" applyNumberFormat="1" applyFont="1" applyFill="1" applyBorder="1" applyProtection="1"/>
    <xf numFmtId="4" fontId="13" fillId="0" borderId="21" xfId="0" applyNumberFormat="1" applyFont="1" applyFill="1" applyBorder="1" applyProtection="1"/>
    <xf numFmtId="0" fontId="5" fillId="0" borderId="0" xfId="0" applyFont="1" applyFill="1" applyAlignment="1" applyProtection="1"/>
    <xf numFmtId="0" fontId="13" fillId="0" borderId="0" xfId="0" applyFont="1" applyFill="1" applyAlignment="1" applyProtection="1"/>
    <xf numFmtId="4" fontId="13" fillId="0" borderId="0" xfId="0" applyNumberFormat="1" applyFont="1" applyFill="1" applyAlignment="1" applyProtection="1"/>
    <xf numFmtId="14" fontId="13" fillId="0" borderId="22" xfId="0" applyNumberFormat="1" applyFont="1" applyFill="1" applyBorder="1" applyAlignment="1" applyProtection="1"/>
    <xf numFmtId="0" fontId="5" fillId="0" borderId="22" xfId="0" applyFont="1" applyFill="1" applyBorder="1" applyAlignment="1" applyProtection="1"/>
    <xf numFmtId="0" fontId="13" fillId="0" borderId="22" xfId="0" applyFont="1" applyFill="1" applyBorder="1" applyAlignment="1" applyProtection="1"/>
    <xf numFmtId="0" fontId="5" fillId="0" borderId="23" xfId="0" applyFont="1" applyFill="1" applyBorder="1" applyAlignment="1" applyProtection="1"/>
    <xf numFmtId="0" fontId="13" fillId="0" borderId="24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/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0" fillId="2" borderId="25" xfId="0" applyFill="1" applyBorder="1" applyAlignment="1">
      <alignment horizontal="right" vertical="center"/>
    </xf>
    <xf numFmtId="0" fontId="14" fillId="2" borderId="26" xfId="0" applyFont="1" applyFill="1" applyBorder="1" applyAlignment="1">
      <alignment horizontal="center"/>
    </xf>
    <xf numFmtId="20" fontId="0" fillId="2" borderId="27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27" xfId="0" applyFill="1" applyBorder="1" applyAlignment="1">
      <alignment horizontal="right" vertical="center"/>
    </xf>
    <xf numFmtId="0" fontId="0" fillId="2" borderId="0" xfId="0" applyFill="1" applyBorder="1"/>
    <xf numFmtId="0" fontId="14" fillId="0" borderId="0" xfId="0" applyFont="1" applyAlignment="1">
      <alignment vertical="center"/>
    </xf>
    <xf numFmtId="0" fontId="14" fillId="2" borderId="28" xfId="0" applyFont="1" applyFill="1" applyBorder="1" applyAlignment="1">
      <alignment horizontal="right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vertical="center" wrapText="1"/>
    </xf>
    <xf numFmtId="0" fontId="0" fillId="3" borderId="27" xfId="0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0" fontId="0" fillId="3" borderId="27" xfId="0" applyFill="1" applyBorder="1" applyAlignment="1">
      <alignment horizontal="right" vertical="center"/>
    </xf>
    <xf numFmtId="0" fontId="0" fillId="3" borderId="0" xfId="0" applyFill="1" applyBorder="1"/>
    <xf numFmtId="0" fontId="14" fillId="3" borderId="28" xfId="0" applyFont="1" applyFill="1" applyBorder="1" applyAlignment="1">
      <alignment horizontal="right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right" vertical="center" wrapText="1"/>
    </xf>
    <xf numFmtId="0" fontId="0" fillId="2" borderId="23" xfId="0" applyFill="1" applyBorder="1"/>
    <xf numFmtId="0" fontId="12" fillId="3" borderId="23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horizontal="right" vertical="center" wrapText="1"/>
    </xf>
    <xf numFmtId="0" fontId="15" fillId="0" borderId="0" xfId="0" applyFont="1" applyFill="1"/>
    <xf numFmtId="0" fontId="13" fillId="0" borderId="29" xfId="0" applyFont="1" applyFill="1" applyBorder="1" applyProtection="1"/>
    <xf numFmtId="20" fontId="0" fillId="2" borderId="28" xfId="0" applyNumberForma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4" fontId="0" fillId="2" borderId="30" xfId="0" applyNumberFormat="1" applyFill="1" applyBorder="1" applyAlignment="1" applyProtection="1">
      <alignment vertical="center"/>
      <protection hidden="1"/>
    </xf>
    <xf numFmtId="4" fontId="0" fillId="2" borderId="31" xfId="0" applyNumberFormat="1" applyFill="1" applyBorder="1" applyAlignment="1" applyProtection="1">
      <alignment vertical="center"/>
      <protection hidden="1"/>
    </xf>
    <xf numFmtId="4" fontId="14" fillId="2" borderId="30" xfId="0" applyNumberFormat="1" applyFont="1" applyFill="1" applyBorder="1" applyAlignment="1" applyProtection="1">
      <alignment vertical="center"/>
      <protection hidden="1"/>
    </xf>
    <xf numFmtId="4" fontId="18" fillId="2" borderId="32" xfId="0" applyNumberFormat="1" applyFont="1" applyFill="1" applyBorder="1" applyAlignment="1" applyProtection="1">
      <alignment vertical="center"/>
      <protection hidden="1"/>
    </xf>
    <xf numFmtId="4" fontId="0" fillId="2" borderId="32" xfId="0" applyNumberFormat="1" applyFill="1" applyBorder="1" applyAlignment="1" applyProtection="1">
      <alignment vertical="center"/>
      <protection hidden="1"/>
    </xf>
    <xf numFmtId="4" fontId="19" fillId="2" borderId="30" xfId="0" applyNumberFormat="1" applyFont="1" applyFill="1" applyBorder="1" applyAlignment="1" applyProtection="1">
      <alignment horizontal="right" vertical="center"/>
      <protection hidden="1"/>
    </xf>
    <xf numFmtId="4" fontId="14" fillId="2" borderId="30" xfId="0" applyNumberFormat="1" applyFont="1" applyFill="1" applyBorder="1" applyAlignment="1" applyProtection="1">
      <alignment horizontal="right"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3" borderId="30" xfId="0" applyNumberFormat="1" applyFill="1" applyBorder="1" applyAlignment="1" applyProtection="1">
      <alignment vertical="center"/>
      <protection hidden="1"/>
    </xf>
    <xf numFmtId="4" fontId="14" fillId="3" borderId="30" xfId="0" applyNumberFormat="1" applyFont="1" applyFill="1" applyBorder="1" applyAlignment="1" applyProtection="1">
      <alignment vertical="center"/>
      <protection hidden="1"/>
    </xf>
    <xf numFmtId="4" fontId="0" fillId="3" borderId="32" xfId="0" applyNumberFormat="1" applyFill="1" applyBorder="1" applyAlignment="1" applyProtection="1">
      <alignment vertical="center"/>
      <protection hidden="1"/>
    </xf>
    <xf numFmtId="4" fontId="20" fillId="3" borderId="32" xfId="0" applyNumberFormat="1" applyFont="1" applyFill="1" applyBorder="1" applyAlignment="1" applyProtection="1">
      <alignment vertical="center"/>
      <protection hidden="1"/>
    </xf>
    <xf numFmtId="4" fontId="13" fillId="2" borderId="32" xfId="0" applyNumberFormat="1" applyFont="1" applyFill="1" applyBorder="1" applyAlignment="1" applyProtection="1">
      <alignment vertical="center"/>
      <protection hidden="1"/>
    </xf>
    <xf numFmtId="0" fontId="13" fillId="0" borderId="33" xfId="0" applyFont="1" applyFill="1" applyBorder="1" applyProtection="1"/>
    <xf numFmtId="4" fontId="13" fillId="3" borderId="32" xfId="0" applyNumberFormat="1" applyFont="1" applyFill="1" applyBorder="1" applyAlignment="1" applyProtection="1">
      <alignment vertical="center"/>
      <protection hidden="1"/>
    </xf>
    <xf numFmtId="4" fontId="21" fillId="0" borderId="5" xfId="0" applyNumberFormat="1" applyFont="1" applyFill="1" applyBorder="1" applyProtection="1">
      <protection locked="0"/>
    </xf>
    <xf numFmtId="4" fontId="13" fillId="0" borderId="34" xfId="0" applyNumberFormat="1" applyFont="1" applyFill="1" applyBorder="1" applyAlignment="1" applyProtection="1">
      <alignment horizontal="center" vertical="center"/>
    </xf>
    <xf numFmtId="14" fontId="19" fillId="0" borderId="35" xfId="0" applyNumberFormat="1" applyFont="1" applyFill="1" applyBorder="1" applyAlignment="1">
      <alignment horizontal="center"/>
    </xf>
    <xf numFmtId="4" fontId="23" fillId="0" borderId="36" xfId="0" applyNumberFormat="1" applyFont="1" applyFill="1" applyBorder="1" applyProtection="1"/>
    <xf numFmtId="0" fontId="24" fillId="0" borderId="4" xfId="0" applyFont="1" applyFill="1" applyBorder="1" applyProtection="1"/>
    <xf numFmtId="4" fontId="24" fillId="0" borderId="5" xfId="0" applyNumberFormat="1" applyFont="1" applyFill="1" applyBorder="1" applyProtection="1">
      <protection locked="0"/>
    </xf>
    <xf numFmtId="0" fontId="24" fillId="0" borderId="0" xfId="0" applyFont="1" applyFill="1"/>
    <xf numFmtId="4" fontId="24" fillId="0" borderId="19" xfId="0" applyNumberFormat="1" applyFont="1" applyFill="1" applyBorder="1" applyProtection="1">
      <protection locked="0"/>
    </xf>
    <xf numFmtId="49" fontId="4" fillId="0" borderId="36" xfId="0" applyNumberFormat="1" applyFont="1" applyFill="1" applyBorder="1" applyAlignment="1" applyProtection="1">
      <alignment horizontal="center" wrapText="1"/>
    </xf>
    <xf numFmtId="49" fontId="3" fillId="0" borderId="37" xfId="0" applyNumberFormat="1" applyFont="1" applyFill="1" applyBorder="1" applyAlignment="1" applyProtection="1">
      <alignment horizontal="left" wrapText="1"/>
    </xf>
    <xf numFmtId="0" fontId="13" fillId="0" borderId="23" xfId="0" applyFont="1" applyFill="1" applyBorder="1" applyAlignment="1" applyProtection="1">
      <alignment horizontal="left" wrapText="1"/>
    </xf>
    <xf numFmtId="0" fontId="13" fillId="0" borderId="30" xfId="0" applyFont="1" applyFill="1" applyBorder="1" applyAlignment="1" applyProtection="1">
      <alignment horizontal="left" wrapText="1"/>
    </xf>
    <xf numFmtId="49" fontId="5" fillId="0" borderId="37" xfId="0" applyNumberFormat="1" applyFont="1" applyFill="1" applyBorder="1" applyAlignment="1" applyProtection="1">
      <alignment horizontal="right" wrapText="1"/>
    </xf>
    <xf numFmtId="0" fontId="13" fillId="0" borderId="23" xfId="0" applyFont="1" applyFill="1" applyBorder="1" applyAlignment="1" applyProtection="1">
      <alignment wrapText="1"/>
    </xf>
    <xf numFmtId="0" fontId="13" fillId="0" borderId="30" xfId="0" applyFont="1" applyFill="1" applyBorder="1" applyAlignment="1" applyProtection="1">
      <alignment wrapText="1"/>
    </xf>
    <xf numFmtId="49" fontId="3" fillId="0" borderId="37" xfId="0" applyNumberFormat="1" applyFont="1" applyFill="1" applyBorder="1" applyAlignment="1" applyProtection="1">
      <alignment wrapText="1"/>
    </xf>
    <xf numFmtId="49" fontId="4" fillId="0" borderId="46" xfId="0" applyNumberFormat="1" applyFont="1" applyFill="1" applyBorder="1" applyAlignment="1" applyProtection="1">
      <alignment horizontal="right" wrapText="1"/>
    </xf>
    <xf numFmtId="49" fontId="4" fillId="0" borderId="47" xfId="0" applyNumberFormat="1" applyFont="1" applyFill="1" applyBorder="1" applyAlignment="1" applyProtection="1">
      <alignment horizontal="right" wrapText="1"/>
    </xf>
    <xf numFmtId="49" fontId="4" fillId="0" borderId="55" xfId="0" applyNumberFormat="1" applyFont="1" applyFill="1" applyBorder="1" applyAlignment="1" applyProtection="1">
      <alignment horizontal="right" wrapText="1"/>
    </xf>
    <xf numFmtId="0" fontId="3" fillId="0" borderId="37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left"/>
    </xf>
    <xf numFmtId="0" fontId="24" fillId="0" borderId="23" xfId="0" applyFont="1" applyFill="1" applyBorder="1" applyAlignment="1" applyProtection="1">
      <alignment wrapText="1"/>
    </xf>
    <xf numFmtId="0" fontId="24" fillId="0" borderId="30" xfId="0" applyFont="1" applyFill="1" applyBorder="1" applyAlignment="1" applyProtection="1">
      <alignment wrapText="1"/>
    </xf>
    <xf numFmtId="0" fontId="13" fillId="0" borderId="38" xfId="0" applyFont="1" applyFill="1" applyBorder="1" applyAlignment="1" applyProtection="1">
      <alignment wrapText="1"/>
    </xf>
    <xf numFmtId="49" fontId="7" fillId="0" borderId="40" xfId="0" applyNumberFormat="1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/>
    <xf numFmtId="0" fontId="13" fillId="0" borderId="53" xfId="0" applyFont="1" applyFill="1" applyBorder="1" applyAlignment="1" applyProtection="1"/>
    <xf numFmtId="49" fontId="3" fillId="0" borderId="43" xfId="0" applyNumberFormat="1" applyFont="1" applyFill="1" applyBorder="1" applyAlignment="1" applyProtection="1">
      <alignment wrapText="1"/>
    </xf>
    <xf numFmtId="0" fontId="13" fillId="0" borderId="44" xfId="0" applyFont="1" applyFill="1" applyBorder="1" applyAlignment="1" applyProtection="1">
      <alignment wrapText="1"/>
    </xf>
    <xf numFmtId="0" fontId="13" fillId="0" borderId="54" xfId="0" applyFont="1" applyFill="1" applyBorder="1" applyAlignment="1" applyProtection="1">
      <alignment wrapText="1"/>
    </xf>
    <xf numFmtId="0" fontId="11" fillId="0" borderId="23" xfId="0" applyFont="1" applyFill="1" applyBorder="1" applyAlignment="1" applyProtection="1">
      <alignment wrapText="1"/>
    </xf>
    <xf numFmtId="0" fontId="11" fillId="0" borderId="38" xfId="0" applyFont="1" applyFill="1" applyBorder="1" applyAlignment="1" applyProtection="1">
      <alignment wrapText="1"/>
    </xf>
    <xf numFmtId="0" fontId="13" fillId="0" borderId="47" xfId="0" applyFont="1" applyFill="1" applyBorder="1" applyAlignment="1" applyProtection="1">
      <alignment horizontal="right" wrapText="1"/>
    </xf>
    <xf numFmtId="0" fontId="13" fillId="0" borderId="48" xfId="0" applyFont="1" applyFill="1" applyBorder="1" applyAlignment="1" applyProtection="1">
      <alignment horizontal="right" wrapText="1"/>
    </xf>
    <xf numFmtId="0" fontId="13" fillId="0" borderId="42" xfId="0" applyFont="1" applyFill="1" applyBorder="1" applyAlignment="1" applyProtection="1"/>
    <xf numFmtId="0" fontId="13" fillId="0" borderId="45" xfId="0" applyFont="1" applyFill="1" applyBorder="1" applyAlignment="1" applyProtection="1">
      <alignment wrapText="1"/>
    </xf>
    <xf numFmtId="0" fontId="3" fillId="0" borderId="51" xfId="0" applyFont="1" applyFill="1" applyBorder="1" applyAlignment="1" applyProtection="1">
      <alignment wrapText="1"/>
    </xf>
    <xf numFmtId="0" fontId="11" fillId="0" borderId="26" xfId="0" applyFont="1" applyFill="1" applyBorder="1" applyAlignment="1" applyProtection="1">
      <alignment wrapText="1"/>
    </xf>
    <xf numFmtId="0" fontId="11" fillId="0" borderId="52" xfId="0" applyFont="1" applyFill="1" applyBorder="1" applyAlignment="1" applyProtection="1">
      <alignment wrapText="1"/>
    </xf>
    <xf numFmtId="0" fontId="13" fillId="0" borderId="47" xfId="0" applyFont="1" applyFill="1" applyBorder="1" applyAlignment="1" applyProtection="1">
      <alignment wrapText="1"/>
    </xf>
    <xf numFmtId="0" fontId="13" fillId="0" borderId="48" xfId="0" applyFont="1" applyFill="1" applyBorder="1" applyAlignment="1" applyProtection="1">
      <alignment wrapText="1"/>
    </xf>
    <xf numFmtId="49" fontId="6" fillId="0" borderId="39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/>
    <xf numFmtId="0" fontId="13" fillId="0" borderId="9" xfId="0" applyFont="1" applyFill="1" applyBorder="1" applyAlignment="1" applyProtection="1"/>
    <xf numFmtId="0" fontId="11" fillId="0" borderId="44" xfId="0" applyFont="1" applyFill="1" applyBorder="1" applyAlignment="1" applyProtection="1">
      <alignment wrapText="1"/>
    </xf>
    <xf numFmtId="0" fontId="11" fillId="0" borderId="45" xfId="0" applyFont="1" applyFill="1" applyBorder="1" applyAlignment="1" applyProtection="1">
      <alignment wrapText="1"/>
    </xf>
    <xf numFmtId="0" fontId="3" fillId="0" borderId="37" xfId="0" applyFont="1" applyFill="1" applyBorder="1" applyAlignment="1" applyProtection="1">
      <alignment wrapText="1"/>
    </xf>
    <xf numFmtId="0" fontId="3" fillId="0" borderId="49" xfId="0" applyFont="1" applyFill="1" applyBorder="1" applyAlignment="1" applyProtection="1">
      <alignment wrapText="1"/>
    </xf>
    <xf numFmtId="0" fontId="11" fillId="0" borderId="22" xfId="0" applyFont="1" applyFill="1" applyBorder="1" applyAlignment="1" applyProtection="1">
      <alignment wrapText="1"/>
    </xf>
    <xf numFmtId="0" fontId="11" fillId="0" borderId="50" xfId="0" applyFont="1" applyFill="1" applyBorder="1" applyAlignment="1" applyProtection="1">
      <alignment wrapText="1"/>
    </xf>
    <xf numFmtId="49" fontId="1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3" fillId="0" borderId="8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</xf>
  </cellXfs>
  <cellStyles count="1">
    <cellStyle name="Normale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I141"/>
  <sheetViews>
    <sheetView tabSelected="1" topLeftCell="A46" workbookViewId="0">
      <selection activeCell="K58" sqref="K58"/>
    </sheetView>
  </sheetViews>
  <sheetFormatPr defaultRowHeight="15" x14ac:dyDescent="0.25"/>
  <cols>
    <col min="1" max="1" width="10.5703125" style="2" customWidth="1"/>
    <col min="2" max="2" width="14.5703125" style="2" customWidth="1"/>
    <col min="3" max="4" width="8.7109375" style="2" customWidth="1"/>
    <col min="5" max="5" width="5.28515625" style="2" customWidth="1"/>
    <col min="6" max="6" width="17" style="2" customWidth="1"/>
    <col min="7" max="7" width="20.28515625" style="2" customWidth="1"/>
    <col min="8" max="9" width="15.7109375" style="2" customWidth="1"/>
    <col min="10" max="16384" width="9.140625" style="2"/>
  </cols>
  <sheetData>
    <row r="1" spans="1:9" ht="17.25" thickTop="1" thickBot="1" x14ac:dyDescent="0.3">
      <c r="A1" s="1" t="s">
        <v>150</v>
      </c>
      <c r="B1" s="142" t="s">
        <v>387</v>
      </c>
      <c r="C1" s="143"/>
      <c r="D1" s="143"/>
      <c r="E1" s="143"/>
      <c r="F1" s="143"/>
      <c r="G1" s="144"/>
      <c r="H1" s="93">
        <v>42369</v>
      </c>
      <c r="I1" s="93">
        <v>42004</v>
      </c>
    </row>
    <row r="2" spans="1:9" ht="16.5" thickTop="1" thickBot="1" x14ac:dyDescent="0.3">
      <c r="A2" s="40" t="s">
        <v>151</v>
      </c>
      <c r="B2" s="133" t="s">
        <v>391</v>
      </c>
      <c r="C2" s="145"/>
      <c r="D2" s="145"/>
      <c r="E2" s="145"/>
      <c r="F2" s="145"/>
      <c r="G2" s="146"/>
      <c r="H2" s="92"/>
      <c r="I2" s="92"/>
    </row>
    <row r="3" spans="1:9" ht="16.5" thickTop="1" thickBot="1" x14ac:dyDescent="0.3">
      <c r="A3" s="8" t="s">
        <v>152</v>
      </c>
      <c r="B3" s="116" t="s">
        <v>153</v>
      </c>
      <c r="C3" s="117"/>
      <c r="D3" s="117"/>
      <c r="E3" s="117"/>
      <c r="F3" s="117"/>
      <c r="G3" s="126"/>
      <c r="H3" s="4" t="s">
        <v>154</v>
      </c>
      <c r="I3" s="4" t="s">
        <v>154</v>
      </c>
    </row>
    <row r="4" spans="1:9" x14ac:dyDescent="0.25">
      <c r="A4" s="5" t="s">
        <v>155</v>
      </c>
      <c r="B4" s="147" t="s">
        <v>156</v>
      </c>
      <c r="C4" s="136"/>
      <c r="D4" s="136"/>
      <c r="E4" s="136"/>
      <c r="F4" s="136"/>
      <c r="G4" s="137"/>
      <c r="H4" s="6"/>
      <c r="I4" s="6"/>
    </row>
    <row r="5" spans="1:9" s="97" customFormat="1" x14ac:dyDescent="0.25">
      <c r="A5" s="95" t="s">
        <v>173</v>
      </c>
      <c r="B5" s="110" t="s">
        <v>389</v>
      </c>
      <c r="C5" s="111"/>
      <c r="D5" s="111"/>
      <c r="E5" s="111"/>
      <c r="F5" s="111"/>
      <c r="G5" s="112"/>
      <c r="H5" s="96">
        <f>7260-7259.28</f>
        <v>0.72000000000025466</v>
      </c>
      <c r="I5" s="96">
        <f>7260-4839.52</f>
        <v>2420.4799999999996</v>
      </c>
    </row>
    <row r="6" spans="1:9" x14ac:dyDescent="0.25">
      <c r="A6" s="5" t="s">
        <v>157</v>
      </c>
      <c r="B6" s="138" t="s">
        <v>158</v>
      </c>
      <c r="C6" s="122"/>
      <c r="D6" s="122"/>
      <c r="E6" s="122"/>
      <c r="F6" s="122"/>
      <c r="G6" s="123"/>
      <c r="H6" s="6"/>
      <c r="I6" s="6"/>
    </row>
    <row r="7" spans="1:9" x14ac:dyDescent="0.25">
      <c r="A7" s="5" t="s">
        <v>159</v>
      </c>
      <c r="B7" s="138" t="s">
        <v>160</v>
      </c>
      <c r="C7" s="122"/>
      <c r="D7" s="122"/>
      <c r="E7" s="122"/>
      <c r="F7" s="122"/>
      <c r="G7" s="123"/>
      <c r="H7" s="6">
        <v>16463.009999999998</v>
      </c>
      <c r="I7" s="6">
        <v>16463.009999999998</v>
      </c>
    </row>
    <row r="8" spans="1:9" x14ac:dyDescent="0.25">
      <c r="A8" s="5" t="s">
        <v>161</v>
      </c>
      <c r="B8" s="138" t="s">
        <v>162</v>
      </c>
      <c r="C8" s="122"/>
      <c r="D8" s="122"/>
      <c r="E8" s="122"/>
      <c r="F8" s="122"/>
      <c r="G8" s="123"/>
      <c r="H8" s="6">
        <v>29041.200000000001</v>
      </c>
      <c r="I8" s="6">
        <v>29041.200000000001</v>
      </c>
    </row>
    <row r="9" spans="1:9" x14ac:dyDescent="0.25">
      <c r="A9" s="5" t="s">
        <v>163</v>
      </c>
      <c r="B9" s="138" t="s">
        <v>164</v>
      </c>
      <c r="C9" s="122"/>
      <c r="D9" s="122"/>
      <c r="E9" s="122"/>
      <c r="F9" s="122"/>
      <c r="G9" s="123"/>
      <c r="H9" s="6">
        <v>0</v>
      </c>
      <c r="I9" s="6">
        <v>0</v>
      </c>
    </row>
    <row r="10" spans="1:9" x14ac:dyDescent="0.25">
      <c r="A10" s="5" t="s">
        <v>165</v>
      </c>
      <c r="B10" s="138" t="s">
        <v>166</v>
      </c>
      <c r="C10" s="122"/>
      <c r="D10" s="122"/>
      <c r="E10" s="122"/>
      <c r="F10" s="122"/>
      <c r="G10" s="123"/>
      <c r="H10" s="6">
        <v>50000</v>
      </c>
      <c r="I10" s="6">
        <v>70000</v>
      </c>
    </row>
    <row r="11" spans="1:9" x14ac:dyDescent="0.25">
      <c r="A11" s="5" t="s">
        <v>167</v>
      </c>
      <c r="B11" s="138" t="s">
        <v>168</v>
      </c>
      <c r="C11" s="122"/>
      <c r="D11" s="122"/>
      <c r="E11" s="122"/>
      <c r="F11" s="122"/>
      <c r="G11" s="123"/>
      <c r="H11" s="6">
        <v>45305.9</v>
      </c>
      <c r="I11" s="6">
        <v>20955.95</v>
      </c>
    </row>
    <row r="12" spans="1:9" x14ac:dyDescent="0.25">
      <c r="A12" s="5" t="s">
        <v>169</v>
      </c>
      <c r="B12" s="138" t="s">
        <v>170</v>
      </c>
      <c r="C12" s="122"/>
      <c r="D12" s="122"/>
      <c r="E12" s="122"/>
      <c r="F12" s="122"/>
      <c r="G12" s="123"/>
      <c r="H12" s="6">
        <v>111.72</v>
      </c>
      <c r="I12" s="6">
        <v>549.02</v>
      </c>
    </row>
    <row r="13" spans="1:9" x14ac:dyDescent="0.25">
      <c r="A13" s="5" t="s">
        <v>171</v>
      </c>
      <c r="B13" s="138" t="s">
        <v>384</v>
      </c>
      <c r="C13" s="122"/>
      <c r="D13" s="122"/>
      <c r="E13" s="122"/>
      <c r="F13" s="122"/>
      <c r="G13" s="123"/>
      <c r="H13" s="6">
        <v>47314.53</v>
      </c>
      <c r="I13" s="6">
        <v>51347.98</v>
      </c>
    </row>
    <row r="14" spans="1:9" x14ac:dyDescent="0.25">
      <c r="A14" s="5" t="s">
        <v>172</v>
      </c>
      <c r="B14" s="138" t="s">
        <v>385</v>
      </c>
      <c r="C14" s="122"/>
      <c r="D14" s="122"/>
      <c r="E14" s="122"/>
      <c r="F14" s="122"/>
      <c r="G14" s="123"/>
      <c r="H14" s="6">
        <v>244.69</v>
      </c>
      <c r="I14" s="6">
        <f>23466.13+102.55+1600+73</f>
        <v>25241.68</v>
      </c>
    </row>
    <row r="15" spans="1:9" x14ac:dyDescent="0.25">
      <c r="A15" s="5" t="s">
        <v>173</v>
      </c>
      <c r="B15" s="138" t="s">
        <v>174</v>
      </c>
      <c r="C15" s="122"/>
      <c r="D15" s="122"/>
      <c r="E15" s="122"/>
      <c r="F15" s="122"/>
      <c r="G15" s="123"/>
      <c r="H15" s="6">
        <f>1440-1440+2580-2508</f>
        <v>72</v>
      </c>
      <c r="I15" s="6">
        <f>1440+72-1440</f>
        <v>72</v>
      </c>
    </row>
    <row r="16" spans="1:9" x14ac:dyDescent="0.25">
      <c r="A16" s="5" t="s">
        <v>175</v>
      </c>
      <c r="B16" s="138" t="s">
        <v>176</v>
      </c>
      <c r="C16" s="122"/>
      <c r="D16" s="122"/>
      <c r="E16" s="122"/>
      <c r="F16" s="122"/>
      <c r="G16" s="123"/>
      <c r="H16" s="6">
        <v>1699.78</v>
      </c>
      <c r="I16" s="6">
        <v>3240.39</v>
      </c>
    </row>
    <row r="17" spans="1:9" ht="15.75" thickBot="1" x14ac:dyDescent="0.3">
      <c r="A17" s="5" t="s">
        <v>177</v>
      </c>
      <c r="B17" s="139" t="s">
        <v>178</v>
      </c>
      <c r="C17" s="140"/>
      <c r="D17" s="140"/>
      <c r="E17" s="140"/>
      <c r="F17" s="140"/>
      <c r="G17" s="141"/>
      <c r="H17" s="91">
        <v>37273.17</v>
      </c>
      <c r="I17" s="91">
        <v>10253.02</v>
      </c>
    </row>
    <row r="18" spans="1:9" ht="16.5" thickBot="1" x14ac:dyDescent="0.35">
      <c r="A18" s="89" t="s">
        <v>179</v>
      </c>
      <c r="B18" s="107" t="s">
        <v>180</v>
      </c>
      <c r="C18" s="131"/>
      <c r="D18" s="131"/>
      <c r="E18" s="131"/>
      <c r="F18" s="131"/>
      <c r="G18" s="132"/>
      <c r="H18" s="7">
        <f>SUM(H4:H17)</f>
        <v>227526.71999999997</v>
      </c>
      <c r="I18" s="7">
        <f>SUM(I4:I17)</f>
        <v>229584.73</v>
      </c>
    </row>
    <row r="19" spans="1:9" ht="16.5" thickTop="1" thickBot="1" x14ac:dyDescent="0.3">
      <c r="A19" s="8" t="s">
        <v>181</v>
      </c>
      <c r="B19" s="116" t="s">
        <v>182</v>
      </c>
      <c r="C19" s="117"/>
      <c r="D19" s="117"/>
      <c r="E19" s="117"/>
      <c r="F19" s="117"/>
      <c r="G19" s="126"/>
      <c r="H19" s="4" t="s">
        <v>154</v>
      </c>
      <c r="I19" s="4" t="s">
        <v>154</v>
      </c>
    </row>
    <row r="20" spans="1:9" x14ac:dyDescent="0.25">
      <c r="A20" s="5" t="s">
        <v>183</v>
      </c>
      <c r="B20" s="119" t="s">
        <v>184</v>
      </c>
      <c r="C20" s="136"/>
      <c r="D20" s="136"/>
      <c r="E20" s="136"/>
      <c r="F20" s="136"/>
      <c r="G20" s="137"/>
      <c r="H20" s="6"/>
      <c r="I20" s="6"/>
    </row>
    <row r="21" spans="1:9" x14ac:dyDescent="0.25">
      <c r="A21" s="5" t="s">
        <v>185</v>
      </c>
      <c r="B21" s="138" t="s">
        <v>186</v>
      </c>
      <c r="C21" s="122"/>
      <c r="D21" s="122"/>
      <c r="E21" s="122"/>
      <c r="F21" s="122"/>
      <c r="G21" s="123"/>
      <c r="H21" s="6">
        <f>2229.22+2472</f>
        <v>4701.2199999999993</v>
      </c>
      <c r="I21" s="6">
        <f>2127.61+2451</f>
        <v>4578.6100000000006</v>
      </c>
    </row>
    <row r="22" spans="1:9" x14ac:dyDescent="0.25">
      <c r="A22" s="5" t="s">
        <v>187</v>
      </c>
      <c r="B22" s="138" t="s">
        <v>188</v>
      </c>
      <c r="C22" s="122"/>
      <c r="D22" s="122"/>
      <c r="E22" s="122"/>
      <c r="F22" s="122"/>
      <c r="G22" s="123"/>
      <c r="H22" s="6"/>
      <c r="I22" s="6"/>
    </row>
    <row r="23" spans="1:9" x14ac:dyDescent="0.25">
      <c r="A23" s="5" t="s">
        <v>189</v>
      </c>
      <c r="B23" s="138" t="s">
        <v>190</v>
      </c>
      <c r="C23" s="122"/>
      <c r="D23" s="122"/>
      <c r="E23" s="122"/>
      <c r="F23" s="122"/>
      <c r="G23" s="123"/>
      <c r="H23" s="6"/>
      <c r="I23" s="6"/>
    </row>
    <row r="24" spans="1:9" x14ac:dyDescent="0.25">
      <c r="A24" s="5" t="s">
        <v>191</v>
      </c>
      <c r="B24" s="138" t="s">
        <v>192</v>
      </c>
      <c r="C24" s="122"/>
      <c r="D24" s="122"/>
      <c r="E24" s="122"/>
      <c r="F24" s="122"/>
      <c r="G24" s="123"/>
      <c r="H24" s="6"/>
      <c r="I24" s="6"/>
    </row>
    <row r="25" spans="1:9" x14ac:dyDescent="0.25">
      <c r="A25" s="5" t="s">
        <v>193</v>
      </c>
      <c r="B25" s="138" t="s">
        <v>194</v>
      </c>
      <c r="C25" s="122"/>
      <c r="D25" s="122"/>
      <c r="E25" s="122"/>
      <c r="F25" s="122"/>
      <c r="G25" s="123"/>
      <c r="H25" s="6">
        <f>6587.51+8681.02-9</f>
        <v>15259.53</v>
      </c>
      <c r="I25" s="6">
        <v>11823.98</v>
      </c>
    </row>
    <row r="26" spans="1:9" x14ac:dyDescent="0.25">
      <c r="A26" s="5" t="s">
        <v>195</v>
      </c>
      <c r="B26" s="138" t="s">
        <v>196</v>
      </c>
      <c r="C26" s="122"/>
      <c r="D26" s="122"/>
      <c r="E26" s="122"/>
      <c r="F26" s="122"/>
      <c r="G26" s="123"/>
      <c r="H26" s="6">
        <v>28940.54</v>
      </c>
      <c r="I26" s="6">
        <v>25735.96</v>
      </c>
    </row>
    <row r="27" spans="1:9" x14ac:dyDescent="0.25">
      <c r="A27" s="5" t="s">
        <v>197</v>
      </c>
      <c r="B27" s="138" t="s">
        <v>198</v>
      </c>
      <c r="C27" s="122"/>
      <c r="D27" s="122"/>
      <c r="E27" s="122"/>
      <c r="F27" s="122"/>
      <c r="G27" s="123"/>
      <c r="H27" s="6">
        <f>16463.01+26553.53</f>
        <v>43016.539999999994</v>
      </c>
      <c r="I27" s="6">
        <f>16412.01+26252.66</f>
        <v>42664.67</v>
      </c>
    </row>
    <row r="28" spans="1:9" x14ac:dyDescent="0.25">
      <c r="A28" s="5" t="s">
        <v>199</v>
      </c>
      <c r="B28" s="138" t="s">
        <v>371</v>
      </c>
      <c r="C28" s="122"/>
      <c r="D28" s="122"/>
      <c r="E28" s="122"/>
      <c r="F28" s="122"/>
      <c r="G28" s="123"/>
      <c r="H28" s="6">
        <v>134528.49</v>
      </c>
      <c r="I28" s="6">
        <v>144781.51</v>
      </c>
    </row>
    <row r="29" spans="1:9" x14ac:dyDescent="0.25">
      <c r="A29" s="5" t="s">
        <v>200</v>
      </c>
      <c r="B29" s="138" t="s">
        <v>201</v>
      </c>
      <c r="C29" s="122"/>
      <c r="D29" s="122"/>
      <c r="E29" s="122"/>
      <c r="F29" s="122"/>
      <c r="G29" s="123"/>
      <c r="H29" s="6">
        <v>1080.4000000000001</v>
      </c>
      <c r="I29" s="6"/>
    </row>
    <row r="30" spans="1:9" x14ac:dyDescent="0.25">
      <c r="A30" s="5" t="s">
        <v>202</v>
      </c>
      <c r="B30" s="138" t="s">
        <v>370</v>
      </c>
      <c r="C30" s="122"/>
      <c r="D30" s="122"/>
      <c r="E30" s="122"/>
      <c r="F30" s="122"/>
      <c r="G30" s="123"/>
      <c r="H30" s="6"/>
      <c r="I30" s="6"/>
    </row>
    <row r="31" spans="1:9" x14ac:dyDescent="0.25">
      <c r="A31" s="5" t="s">
        <v>203</v>
      </c>
      <c r="B31" s="138"/>
      <c r="C31" s="122"/>
      <c r="D31" s="122"/>
      <c r="E31" s="122"/>
      <c r="F31" s="122"/>
      <c r="G31" s="123"/>
      <c r="H31" s="6"/>
      <c r="I31" s="6"/>
    </row>
    <row r="32" spans="1:9" ht="15.75" thickBot="1" x14ac:dyDescent="0.3">
      <c r="A32" s="5" t="s">
        <v>204</v>
      </c>
      <c r="B32" s="128" t="s">
        <v>205</v>
      </c>
      <c r="C32" s="129"/>
      <c r="D32" s="129"/>
      <c r="E32" s="129"/>
      <c r="F32" s="129"/>
      <c r="G32" s="130"/>
      <c r="H32" s="6"/>
      <c r="I32" s="6"/>
    </row>
    <row r="33" spans="1:9" ht="16.5" thickBot="1" x14ac:dyDescent="0.35">
      <c r="A33" s="9" t="s">
        <v>206</v>
      </c>
      <c r="B33" s="107" t="s">
        <v>207</v>
      </c>
      <c r="C33" s="131"/>
      <c r="D33" s="131"/>
      <c r="E33" s="131"/>
      <c r="F33" s="131"/>
      <c r="G33" s="132"/>
      <c r="H33" s="7">
        <f>SUM(H20:H32)</f>
        <v>227526.71999999997</v>
      </c>
      <c r="I33" s="7">
        <f>SUM(I20:I32)</f>
        <v>229584.73</v>
      </c>
    </row>
    <row r="34" spans="1:9" ht="16.5" thickTop="1" thickBot="1" x14ac:dyDescent="0.3">
      <c r="A34" s="10"/>
      <c r="B34" s="10"/>
      <c r="C34" s="10"/>
      <c r="D34" s="10"/>
      <c r="E34" s="10"/>
      <c r="F34" s="10"/>
      <c r="G34" s="10"/>
      <c r="H34" s="11"/>
      <c r="I34" s="11"/>
    </row>
    <row r="35" spans="1:9" ht="20.25" thickTop="1" thickBot="1" x14ac:dyDescent="0.3">
      <c r="A35" s="12" t="str">
        <f>A1</f>
        <v>Cod Sez</v>
      </c>
      <c r="B35" s="13" t="str">
        <f>B1</f>
        <v xml:space="preserve">Avis Comunale di Brescia </v>
      </c>
      <c r="C35" s="14"/>
      <c r="D35" s="14"/>
      <c r="E35" s="14"/>
      <c r="F35" s="14"/>
      <c r="G35" s="15"/>
      <c r="H35" s="93">
        <v>42369</v>
      </c>
      <c r="I35" s="93">
        <v>42004</v>
      </c>
    </row>
    <row r="36" spans="1:9" ht="16.5" thickTop="1" thickBot="1" x14ac:dyDescent="0.3">
      <c r="A36" s="16" t="s">
        <v>208</v>
      </c>
      <c r="B36" s="133" t="s">
        <v>392</v>
      </c>
      <c r="C36" s="134"/>
      <c r="D36" s="134"/>
      <c r="E36" s="134"/>
      <c r="F36" s="134"/>
      <c r="G36" s="135"/>
      <c r="H36" s="3"/>
      <c r="I36" s="3"/>
    </row>
    <row r="37" spans="1:9" ht="16.5" thickTop="1" thickBot="1" x14ac:dyDescent="0.3">
      <c r="A37" s="8" t="s">
        <v>209</v>
      </c>
      <c r="B37" s="116" t="s">
        <v>210</v>
      </c>
      <c r="C37" s="117"/>
      <c r="D37" s="117"/>
      <c r="E37" s="117"/>
      <c r="F37" s="117"/>
      <c r="G37" s="126"/>
      <c r="H37" s="4" t="s">
        <v>154</v>
      </c>
      <c r="I37" s="4" t="s">
        <v>154</v>
      </c>
    </row>
    <row r="38" spans="1:9" x14ac:dyDescent="0.25">
      <c r="A38" s="5" t="s">
        <v>211</v>
      </c>
      <c r="B38" s="119" t="s">
        <v>212</v>
      </c>
      <c r="C38" s="136"/>
      <c r="D38" s="136"/>
      <c r="E38" s="136"/>
      <c r="F38" s="136"/>
      <c r="G38" s="137"/>
      <c r="H38" s="6"/>
      <c r="I38" s="6"/>
    </row>
    <row r="39" spans="1:9" x14ac:dyDescent="0.25">
      <c r="A39" s="5" t="s">
        <v>213</v>
      </c>
      <c r="B39" s="106" t="s">
        <v>214</v>
      </c>
      <c r="C39" s="122"/>
      <c r="D39" s="122"/>
      <c r="E39" s="122"/>
      <c r="F39" s="122"/>
      <c r="G39" s="123"/>
      <c r="H39" s="6"/>
      <c r="I39" s="6"/>
    </row>
    <row r="40" spans="1:9" ht="15.75" thickBot="1" x14ac:dyDescent="0.3">
      <c r="A40" s="69" t="s">
        <v>215</v>
      </c>
      <c r="B40" s="106" t="s">
        <v>375</v>
      </c>
      <c r="C40" s="122"/>
      <c r="D40" s="122"/>
      <c r="E40" s="122"/>
      <c r="F40" s="122"/>
      <c r="G40" s="123"/>
      <c r="H40" s="17">
        <v>165507.9</v>
      </c>
      <c r="I40" s="17">
        <v>156341.5</v>
      </c>
    </row>
    <row r="41" spans="1:9" ht="15.75" thickBot="1" x14ac:dyDescent="0.3">
      <c r="A41" s="18" t="s">
        <v>216</v>
      </c>
      <c r="B41" s="103" t="s">
        <v>217</v>
      </c>
      <c r="C41" s="122"/>
      <c r="D41" s="122"/>
      <c r="E41" s="122"/>
      <c r="F41" s="122"/>
      <c r="G41" s="123"/>
      <c r="H41" s="19">
        <f>SUM(H38:H40)</f>
        <v>165507.9</v>
      </c>
      <c r="I41" s="19">
        <f>SUM(I38:I40)</f>
        <v>156341.5</v>
      </c>
    </row>
    <row r="42" spans="1:9" ht="15.75" thickTop="1" x14ac:dyDescent="0.25">
      <c r="A42" s="20" t="s">
        <v>218</v>
      </c>
      <c r="B42" s="106" t="s">
        <v>219</v>
      </c>
      <c r="C42" s="122"/>
      <c r="D42" s="122"/>
      <c r="E42" s="122"/>
      <c r="F42" s="122"/>
      <c r="G42" s="123"/>
      <c r="H42" s="21"/>
      <c r="I42" s="21"/>
    </row>
    <row r="43" spans="1:9" x14ac:dyDescent="0.25">
      <c r="A43" s="5" t="s">
        <v>220</v>
      </c>
      <c r="B43" s="106" t="s">
        <v>221</v>
      </c>
      <c r="C43" s="122"/>
      <c r="D43" s="122"/>
      <c r="E43" s="122"/>
      <c r="F43" s="122"/>
      <c r="G43" s="123"/>
      <c r="H43" s="6"/>
      <c r="I43" s="6"/>
    </row>
    <row r="44" spans="1:9" x14ac:dyDescent="0.25">
      <c r="A44" s="5" t="s">
        <v>222</v>
      </c>
      <c r="B44" s="106" t="s">
        <v>223</v>
      </c>
      <c r="C44" s="122"/>
      <c r="D44" s="122"/>
      <c r="E44" s="122"/>
      <c r="F44" s="122"/>
      <c r="G44" s="123"/>
      <c r="H44" s="6"/>
      <c r="I44" s="6"/>
    </row>
    <row r="45" spans="1:9" x14ac:dyDescent="0.25">
      <c r="A45" s="5" t="s">
        <v>224</v>
      </c>
      <c r="B45" s="106" t="s">
        <v>225</v>
      </c>
      <c r="C45" s="122"/>
      <c r="D45" s="122"/>
      <c r="E45" s="122"/>
      <c r="F45" s="122"/>
      <c r="G45" s="123"/>
      <c r="H45" s="6"/>
      <c r="I45" s="6">
        <v>660</v>
      </c>
    </row>
    <row r="46" spans="1:9" x14ac:dyDescent="0.25">
      <c r="A46" s="5" t="s">
        <v>226</v>
      </c>
      <c r="B46" s="106" t="s">
        <v>227</v>
      </c>
      <c r="C46" s="122"/>
      <c r="D46" s="122"/>
      <c r="E46" s="122"/>
      <c r="F46" s="122"/>
      <c r="G46" s="123"/>
      <c r="H46" s="6"/>
      <c r="I46" s="6"/>
    </row>
    <row r="47" spans="1:9" x14ac:dyDescent="0.25">
      <c r="A47" s="5" t="s">
        <v>228</v>
      </c>
      <c r="B47" s="106" t="s">
        <v>229</v>
      </c>
      <c r="C47" s="122"/>
      <c r="D47" s="122"/>
      <c r="E47" s="122"/>
      <c r="F47" s="122"/>
      <c r="G47" s="123"/>
      <c r="H47" s="6"/>
      <c r="I47" s="6"/>
    </row>
    <row r="48" spans="1:9" x14ac:dyDescent="0.25">
      <c r="A48" s="5" t="s">
        <v>230</v>
      </c>
      <c r="B48" s="106" t="s">
        <v>231</v>
      </c>
      <c r="C48" s="122"/>
      <c r="D48" s="122"/>
      <c r="E48" s="122"/>
      <c r="F48" s="122"/>
      <c r="G48" s="123"/>
      <c r="H48" s="17"/>
      <c r="I48" s="17"/>
    </row>
    <row r="49" spans="1:9" ht="15.75" thickBot="1" x14ac:dyDescent="0.3">
      <c r="A49" s="5" t="s">
        <v>232</v>
      </c>
      <c r="B49" s="106" t="s">
        <v>233</v>
      </c>
      <c r="C49" s="122"/>
      <c r="D49" s="122"/>
      <c r="E49" s="122"/>
      <c r="F49" s="122"/>
      <c r="G49" s="123"/>
      <c r="H49" s="17">
        <v>2441.5300000000002</v>
      </c>
      <c r="I49" s="17"/>
    </row>
    <row r="50" spans="1:9" ht="15.75" thickBot="1" x14ac:dyDescent="0.3">
      <c r="A50" s="18" t="s">
        <v>234</v>
      </c>
      <c r="B50" s="103" t="s">
        <v>235</v>
      </c>
      <c r="C50" s="122"/>
      <c r="D50" s="122"/>
      <c r="E50" s="122"/>
      <c r="F50" s="122"/>
      <c r="G50" s="123"/>
      <c r="H50" s="19">
        <f>SUM(H43:H49)</f>
        <v>2441.5300000000002</v>
      </c>
      <c r="I50" s="19">
        <f>SUM(I43:I49)</f>
        <v>660</v>
      </c>
    </row>
    <row r="51" spans="1:9" ht="15.75" thickTop="1" x14ac:dyDescent="0.25">
      <c r="A51" s="5" t="s">
        <v>236</v>
      </c>
      <c r="B51" s="106" t="s">
        <v>237</v>
      </c>
      <c r="C51" s="122"/>
      <c r="D51" s="122"/>
      <c r="E51" s="122"/>
      <c r="F51" s="122"/>
      <c r="G51" s="123"/>
      <c r="H51" s="21">
        <v>775.76</v>
      </c>
      <c r="I51" s="21">
        <v>826.55</v>
      </c>
    </row>
    <row r="52" spans="1:9" x14ac:dyDescent="0.25">
      <c r="A52" s="5" t="s">
        <v>238</v>
      </c>
      <c r="B52" s="106" t="s">
        <v>239</v>
      </c>
      <c r="C52" s="122"/>
      <c r="D52" s="122"/>
      <c r="E52" s="122"/>
      <c r="F52" s="122"/>
      <c r="G52" s="123"/>
      <c r="H52" s="6">
        <f>249.21+5.17</f>
        <v>254.38</v>
      </c>
      <c r="I52" s="6">
        <f>4.39+13.63</f>
        <v>18.02</v>
      </c>
    </row>
    <row r="53" spans="1:9" x14ac:dyDescent="0.25">
      <c r="A53" s="5" t="s">
        <v>240</v>
      </c>
      <c r="B53" s="106" t="s">
        <v>241</v>
      </c>
      <c r="C53" s="122"/>
      <c r="D53" s="122"/>
      <c r="E53" s="122"/>
      <c r="F53" s="122"/>
      <c r="G53" s="123"/>
      <c r="H53" s="6"/>
      <c r="I53" s="6"/>
    </row>
    <row r="54" spans="1:9" ht="15.75" thickBot="1" x14ac:dyDescent="0.3">
      <c r="A54" s="5" t="s">
        <v>242</v>
      </c>
      <c r="B54" s="106" t="s">
        <v>243</v>
      </c>
      <c r="C54" s="122"/>
      <c r="D54" s="122"/>
      <c r="E54" s="122"/>
      <c r="F54" s="122"/>
      <c r="G54" s="123"/>
      <c r="H54" s="17"/>
      <c r="I54" s="17"/>
    </row>
    <row r="55" spans="1:9" ht="16.5" thickBot="1" x14ac:dyDescent="0.35">
      <c r="A55" s="22" t="s">
        <v>244</v>
      </c>
      <c r="B55" s="107" t="s">
        <v>245</v>
      </c>
      <c r="C55" s="124"/>
      <c r="D55" s="124"/>
      <c r="E55" s="124"/>
      <c r="F55" s="124"/>
      <c r="G55" s="125"/>
      <c r="H55" s="7">
        <f>SUM(H41,H42,H50,H51,H52,H53,H54)</f>
        <v>168979.57</v>
      </c>
      <c r="I55" s="7">
        <f>SUM(I41,I42,I50,I51,I52,I53,I54)</f>
        <v>157846.06999999998</v>
      </c>
    </row>
    <row r="56" spans="1:9" ht="20.25" thickTop="1" thickBot="1" x14ac:dyDescent="0.35">
      <c r="A56" s="23"/>
      <c r="B56" s="24"/>
      <c r="C56" s="25"/>
      <c r="D56" s="25"/>
      <c r="E56" s="25"/>
      <c r="F56" s="25"/>
      <c r="G56" s="25"/>
      <c r="H56" s="26"/>
      <c r="I56" s="26"/>
    </row>
    <row r="57" spans="1:9" ht="17.25" thickTop="1" thickBot="1" x14ac:dyDescent="0.3">
      <c r="A57" s="12" t="str">
        <f>A1</f>
        <v>Cod Sez</v>
      </c>
      <c r="B57" s="12" t="str">
        <f>B1</f>
        <v xml:space="preserve">Avis Comunale di Brescia </v>
      </c>
      <c r="C57" s="27"/>
      <c r="D57" s="27"/>
      <c r="E57" s="27"/>
      <c r="F57" s="27"/>
      <c r="G57" s="27"/>
      <c r="H57" s="93">
        <v>42369</v>
      </c>
      <c r="I57" s="93">
        <v>42004</v>
      </c>
    </row>
    <row r="58" spans="1:9" ht="16.5" thickTop="1" thickBot="1" x14ac:dyDescent="0.3">
      <c r="A58" s="8" t="s">
        <v>246</v>
      </c>
      <c r="B58" s="116" t="s">
        <v>247</v>
      </c>
      <c r="C58" s="117"/>
      <c r="D58" s="117"/>
      <c r="E58" s="117"/>
      <c r="F58" s="117"/>
      <c r="G58" s="126"/>
      <c r="H58" s="4" t="s">
        <v>154</v>
      </c>
      <c r="I58" s="4" t="s">
        <v>154</v>
      </c>
    </row>
    <row r="59" spans="1:9" x14ac:dyDescent="0.25">
      <c r="A59" s="5" t="s">
        <v>248</v>
      </c>
      <c r="B59" s="119" t="s">
        <v>249</v>
      </c>
      <c r="C59" s="120"/>
      <c r="D59" s="120"/>
      <c r="E59" s="120"/>
      <c r="F59" s="120"/>
      <c r="G59" s="127"/>
      <c r="H59" s="17">
        <v>4477</v>
      </c>
      <c r="I59" s="17"/>
    </row>
    <row r="60" spans="1:9" x14ac:dyDescent="0.25">
      <c r="A60" s="5" t="s">
        <v>250</v>
      </c>
      <c r="B60" s="106" t="s">
        <v>376</v>
      </c>
      <c r="C60" s="104"/>
      <c r="D60" s="104"/>
      <c r="E60" s="104"/>
      <c r="F60" s="104"/>
      <c r="G60" s="115"/>
      <c r="H60" s="17">
        <v>5291</v>
      </c>
      <c r="I60" s="17"/>
    </row>
    <row r="61" spans="1:9" ht="15.75" thickBot="1" x14ac:dyDescent="0.3">
      <c r="A61" s="69" t="s">
        <v>251</v>
      </c>
      <c r="B61" s="106" t="s">
        <v>377</v>
      </c>
      <c r="C61" s="104"/>
      <c r="D61" s="104"/>
      <c r="E61" s="104"/>
      <c r="F61" s="104"/>
      <c r="G61" s="115"/>
      <c r="H61" s="17">
        <v>21466.67</v>
      </c>
      <c r="I61" s="17">
        <v>17009.07</v>
      </c>
    </row>
    <row r="62" spans="1:9" ht="15.75" thickBot="1" x14ac:dyDescent="0.3">
      <c r="A62" s="18" t="s">
        <v>252</v>
      </c>
      <c r="B62" s="103" t="s">
        <v>253</v>
      </c>
      <c r="C62" s="104"/>
      <c r="D62" s="104"/>
      <c r="E62" s="104"/>
      <c r="F62" s="104"/>
      <c r="G62" s="115"/>
      <c r="H62" s="19">
        <f>SUM(H59:H61)</f>
        <v>31234.67</v>
      </c>
      <c r="I62" s="19">
        <f>SUM(I59:I61)</f>
        <v>17009.07</v>
      </c>
    </row>
    <row r="63" spans="1:9" ht="15.75" thickTop="1" x14ac:dyDescent="0.25">
      <c r="A63" s="20" t="s">
        <v>254</v>
      </c>
      <c r="B63" s="106" t="s">
        <v>255</v>
      </c>
      <c r="C63" s="104"/>
      <c r="D63" s="104"/>
      <c r="E63" s="104"/>
      <c r="F63" s="104"/>
      <c r="G63" s="115"/>
      <c r="H63" s="17"/>
      <c r="I63" s="17"/>
    </row>
    <row r="64" spans="1:9" x14ac:dyDescent="0.25">
      <c r="A64" s="5" t="s">
        <v>256</v>
      </c>
      <c r="B64" s="106" t="s">
        <v>257</v>
      </c>
      <c r="C64" s="104"/>
      <c r="D64" s="104"/>
      <c r="E64" s="104"/>
      <c r="F64" s="104"/>
      <c r="G64" s="115"/>
      <c r="H64" s="17">
        <v>0</v>
      </c>
      <c r="I64" s="17">
        <v>3600</v>
      </c>
    </row>
    <row r="65" spans="1:9" x14ac:dyDescent="0.25">
      <c r="A65" s="5" t="s">
        <v>258</v>
      </c>
      <c r="B65" s="106" t="s">
        <v>259</v>
      </c>
      <c r="C65" s="104"/>
      <c r="D65" s="104"/>
      <c r="E65" s="104"/>
      <c r="F65" s="104"/>
      <c r="G65" s="115"/>
      <c r="H65" s="17">
        <f>441.01+1807.92+65.58</f>
        <v>2314.5100000000002</v>
      </c>
      <c r="I65" s="17">
        <f>435.31+1992.84+183.63</f>
        <v>2611.7800000000002</v>
      </c>
    </row>
    <row r="66" spans="1:9" x14ac:dyDescent="0.25">
      <c r="A66" s="5" t="s">
        <v>260</v>
      </c>
      <c r="B66" s="106" t="s">
        <v>261</v>
      </c>
      <c r="C66" s="104"/>
      <c r="D66" s="104"/>
      <c r="E66" s="104"/>
      <c r="F66" s="104"/>
      <c r="G66" s="115"/>
      <c r="H66" s="17">
        <v>2416.1999999999998</v>
      </c>
      <c r="I66" s="17">
        <v>2617.5500000000002</v>
      </c>
    </row>
    <row r="67" spans="1:9" x14ac:dyDescent="0.25">
      <c r="A67" s="5" t="s">
        <v>262</v>
      </c>
      <c r="B67" s="106" t="s">
        <v>263</v>
      </c>
      <c r="C67" s="104"/>
      <c r="D67" s="104"/>
      <c r="E67" s="104"/>
      <c r="F67" s="104"/>
      <c r="G67" s="115"/>
      <c r="H67" s="17"/>
      <c r="I67" s="17"/>
    </row>
    <row r="68" spans="1:9" x14ac:dyDescent="0.25">
      <c r="A68" s="5" t="s">
        <v>264</v>
      </c>
      <c r="B68" s="106" t="s">
        <v>265</v>
      </c>
      <c r="C68" s="104"/>
      <c r="D68" s="104"/>
      <c r="E68" s="104"/>
      <c r="F68" s="104"/>
      <c r="G68" s="115"/>
      <c r="H68" s="17">
        <v>238.87</v>
      </c>
      <c r="I68" s="17">
        <v>240.15</v>
      </c>
    </row>
    <row r="69" spans="1:9" x14ac:dyDescent="0.25">
      <c r="A69" s="5" t="s">
        <v>266</v>
      </c>
      <c r="B69" s="106" t="s">
        <v>378</v>
      </c>
      <c r="C69" s="104"/>
      <c r="D69" s="104"/>
      <c r="E69" s="104"/>
      <c r="F69" s="104"/>
      <c r="G69" s="115"/>
      <c r="H69" s="17">
        <f>1281.08+2408.93</f>
        <v>3690.0099999999998</v>
      </c>
      <c r="I69" s="17">
        <f>1027.63+2198.33</f>
        <v>3225.96</v>
      </c>
    </row>
    <row r="70" spans="1:9" x14ac:dyDescent="0.25">
      <c r="A70" s="5" t="s">
        <v>267</v>
      </c>
      <c r="B70" s="106" t="s">
        <v>268</v>
      </c>
      <c r="C70" s="104"/>
      <c r="D70" s="104"/>
      <c r="E70" s="104"/>
      <c r="F70" s="104"/>
      <c r="G70" s="115"/>
      <c r="H70" s="17">
        <f>4923.1+612</f>
        <v>5535.1</v>
      </c>
      <c r="I70" s="17">
        <f>4471.04+40</f>
        <v>4511.04</v>
      </c>
    </row>
    <row r="71" spans="1:9" x14ac:dyDescent="0.25">
      <c r="A71" s="5" t="s">
        <v>269</v>
      </c>
      <c r="B71" s="106" t="s">
        <v>270</v>
      </c>
      <c r="C71" s="104"/>
      <c r="D71" s="104"/>
      <c r="E71" s="104"/>
      <c r="F71" s="104"/>
      <c r="G71" s="115"/>
      <c r="H71" s="17">
        <v>7843.74</v>
      </c>
      <c r="I71" s="17">
        <v>7585.58</v>
      </c>
    </row>
    <row r="72" spans="1:9" x14ac:dyDescent="0.25">
      <c r="A72" s="5" t="s">
        <v>271</v>
      </c>
      <c r="B72" s="106" t="s">
        <v>386</v>
      </c>
      <c r="C72" s="104"/>
      <c r="D72" s="104"/>
      <c r="E72" s="104"/>
      <c r="F72" s="104"/>
      <c r="G72" s="115"/>
      <c r="H72" s="17"/>
      <c r="I72" s="17"/>
    </row>
    <row r="73" spans="1:9" x14ac:dyDescent="0.25">
      <c r="A73" s="5" t="s">
        <v>272</v>
      </c>
      <c r="B73" s="106" t="s">
        <v>273</v>
      </c>
      <c r="C73" s="104"/>
      <c r="D73" s="104"/>
      <c r="E73" s="104"/>
      <c r="F73" s="104"/>
      <c r="G73" s="115"/>
      <c r="H73" s="17">
        <v>1189.95</v>
      </c>
      <c r="I73" s="17">
        <v>1963.17</v>
      </c>
    </row>
    <row r="74" spans="1:9" x14ac:dyDescent="0.25">
      <c r="A74" s="5" t="s">
        <v>274</v>
      </c>
      <c r="B74" s="106" t="s">
        <v>275</v>
      </c>
      <c r="C74" s="104"/>
      <c r="D74" s="104"/>
      <c r="E74" s="104"/>
      <c r="F74" s="104"/>
      <c r="G74" s="115"/>
      <c r="H74" s="17"/>
      <c r="I74" s="17"/>
    </row>
    <row r="75" spans="1:9" x14ac:dyDescent="0.25">
      <c r="A75" s="5" t="s">
        <v>276</v>
      </c>
      <c r="B75" s="106" t="s">
        <v>379</v>
      </c>
      <c r="C75" s="104"/>
      <c r="D75" s="104"/>
      <c r="E75" s="104"/>
      <c r="F75" s="104"/>
      <c r="G75" s="115"/>
      <c r="H75" s="17"/>
      <c r="I75" s="17"/>
    </row>
    <row r="76" spans="1:9" ht="15.75" thickBot="1" x14ac:dyDescent="0.3">
      <c r="A76" s="5" t="s">
        <v>277</v>
      </c>
      <c r="B76" s="106" t="s">
        <v>380</v>
      </c>
      <c r="C76" s="104"/>
      <c r="D76" s="104"/>
      <c r="E76" s="104"/>
      <c r="F76" s="104"/>
      <c r="G76" s="115"/>
      <c r="H76" s="17">
        <f>4353.75+7</f>
        <v>4360.75</v>
      </c>
      <c r="I76" s="17">
        <f>3729.21+16.9</f>
        <v>3746.11</v>
      </c>
    </row>
    <row r="77" spans="1:9" ht="15.75" thickBot="1" x14ac:dyDescent="0.3">
      <c r="A77" s="18" t="s">
        <v>278</v>
      </c>
      <c r="B77" s="103" t="s">
        <v>279</v>
      </c>
      <c r="C77" s="104"/>
      <c r="D77" s="104"/>
      <c r="E77" s="104"/>
      <c r="F77" s="104"/>
      <c r="G77" s="115"/>
      <c r="H77" s="19">
        <f>SUM(H64:H76)</f>
        <v>27589.13</v>
      </c>
      <c r="I77" s="19">
        <f>SUM(I64:I76)</f>
        <v>30101.340000000004</v>
      </c>
    </row>
    <row r="78" spans="1:9" ht="15.75" thickTop="1" x14ac:dyDescent="0.25">
      <c r="A78" s="5" t="s">
        <v>280</v>
      </c>
      <c r="B78" s="106" t="s">
        <v>281</v>
      </c>
      <c r="C78" s="104"/>
      <c r="D78" s="104"/>
      <c r="E78" s="104"/>
      <c r="F78" s="104"/>
      <c r="G78" s="115"/>
      <c r="H78" s="17">
        <f>48575.05+1132.73</f>
        <v>49707.780000000006</v>
      </c>
      <c r="I78" s="17">
        <f>1132.73+41015.46</f>
        <v>42148.19</v>
      </c>
    </row>
    <row r="79" spans="1:9" x14ac:dyDescent="0.25">
      <c r="A79" s="5" t="s">
        <v>282</v>
      </c>
      <c r="B79" s="106" t="s">
        <v>381</v>
      </c>
      <c r="C79" s="104"/>
      <c r="D79" s="104"/>
      <c r="E79" s="104"/>
      <c r="F79" s="104"/>
      <c r="G79" s="115"/>
      <c r="H79" s="17">
        <f>3204.58+49.63</f>
        <v>3254.21</v>
      </c>
      <c r="I79" s="17">
        <f>3670.67</f>
        <v>3670.67</v>
      </c>
    </row>
    <row r="80" spans="1:9" x14ac:dyDescent="0.25">
      <c r="A80" s="5" t="s">
        <v>283</v>
      </c>
      <c r="B80" s="106" t="s">
        <v>382</v>
      </c>
      <c r="C80" s="104"/>
      <c r="D80" s="104"/>
      <c r="E80" s="104"/>
      <c r="F80" s="104"/>
      <c r="G80" s="115"/>
      <c r="H80" s="17">
        <v>11427.41</v>
      </c>
      <c r="I80" s="17">
        <v>12464.53</v>
      </c>
    </row>
    <row r="81" spans="1:9" ht="15.75" thickBot="1" x14ac:dyDescent="0.3">
      <c r="A81" s="5" t="s">
        <v>284</v>
      </c>
      <c r="B81" s="106" t="s">
        <v>383</v>
      </c>
      <c r="C81" s="104"/>
      <c r="D81" s="104"/>
      <c r="E81" s="104"/>
      <c r="F81" s="104"/>
      <c r="G81" s="115"/>
      <c r="H81" s="17"/>
      <c r="I81" s="17"/>
    </row>
    <row r="82" spans="1:9" ht="15.75" thickBot="1" x14ac:dyDescent="0.3">
      <c r="A82" s="18" t="s">
        <v>285</v>
      </c>
      <c r="B82" s="103" t="s">
        <v>286</v>
      </c>
      <c r="C82" s="104"/>
      <c r="D82" s="104"/>
      <c r="E82" s="104"/>
      <c r="F82" s="104"/>
      <c r="G82" s="115"/>
      <c r="H82" s="19">
        <f>SUM(H78:H81)</f>
        <v>64389.400000000009</v>
      </c>
      <c r="I82" s="19">
        <f>SUM(I78:I81)</f>
        <v>58283.39</v>
      </c>
    </row>
    <row r="83" spans="1:9" ht="15.75" thickTop="1" x14ac:dyDescent="0.25">
      <c r="A83" s="5" t="s">
        <v>287</v>
      </c>
      <c r="B83" s="106" t="s">
        <v>288</v>
      </c>
      <c r="C83" s="104"/>
      <c r="D83" s="104"/>
      <c r="E83" s="104"/>
      <c r="F83" s="104"/>
      <c r="G83" s="115"/>
      <c r="H83" s="17"/>
      <c r="I83" s="17"/>
    </row>
    <row r="84" spans="1:9" x14ac:dyDescent="0.25">
      <c r="A84" s="5" t="s">
        <v>289</v>
      </c>
      <c r="B84" s="106" t="s">
        <v>290</v>
      </c>
      <c r="C84" s="104"/>
      <c r="D84" s="104"/>
      <c r="E84" s="104"/>
      <c r="F84" s="104"/>
      <c r="G84" s="115"/>
      <c r="H84" s="17"/>
      <c r="I84" s="17"/>
    </row>
    <row r="85" spans="1:9" x14ac:dyDescent="0.25">
      <c r="A85" s="5" t="s">
        <v>291</v>
      </c>
      <c r="B85" s="106" t="s">
        <v>292</v>
      </c>
      <c r="C85" s="104"/>
      <c r="D85" s="104"/>
      <c r="E85" s="104"/>
      <c r="F85" s="104"/>
      <c r="G85" s="115"/>
      <c r="H85" s="17">
        <f>21236+3342</f>
        <v>24578</v>
      </c>
      <c r="I85" s="17">
        <f>2945+19052</f>
        <v>21997</v>
      </c>
    </row>
    <row r="86" spans="1:9" x14ac:dyDescent="0.25">
      <c r="A86" s="5" t="s">
        <v>293</v>
      </c>
      <c r="B86" s="106" t="s">
        <v>294</v>
      </c>
      <c r="C86" s="104"/>
      <c r="D86" s="104"/>
      <c r="E86" s="104"/>
      <c r="F86" s="104"/>
      <c r="G86" s="115"/>
      <c r="H86" s="17"/>
      <c r="I86" s="17"/>
    </row>
    <row r="87" spans="1:9" ht="15.75" thickBot="1" x14ac:dyDescent="0.3">
      <c r="A87" s="5" t="s">
        <v>295</v>
      </c>
      <c r="B87" s="106" t="s">
        <v>296</v>
      </c>
      <c r="C87" s="104"/>
      <c r="D87" s="104"/>
      <c r="E87" s="104"/>
      <c r="F87" s="104"/>
      <c r="G87" s="115"/>
      <c r="H87" s="17">
        <v>11169</v>
      </c>
      <c r="I87" s="17">
        <v>10431</v>
      </c>
    </row>
    <row r="88" spans="1:9" ht="15.75" thickBot="1" x14ac:dyDescent="0.3">
      <c r="A88" s="18" t="s">
        <v>297</v>
      </c>
      <c r="B88" s="103" t="s">
        <v>298</v>
      </c>
      <c r="C88" s="104"/>
      <c r="D88" s="104"/>
      <c r="E88" s="104"/>
      <c r="F88" s="104"/>
      <c r="G88" s="115"/>
      <c r="H88" s="19">
        <f>SUM(H83:H87)</f>
        <v>35747</v>
      </c>
      <c r="I88" s="19">
        <f>SUM(I83:I87)</f>
        <v>32428</v>
      </c>
    </row>
    <row r="89" spans="1:9" ht="15.75" thickTop="1" x14ac:dyDescent="0.25">
      <c r="A89" s="5" t="s">
        <v>299</v>
      </c>
      <c r="B89" s="106" t="s">
        <v>300</v>
      </c>
      <c r="C89" s="104"/>
      <c r="D89" s="104"/>
      <c r="E89" s="104"/>
      <c r="F89" s="104"/>
      <c r="G89" s="115"/>
      <c r="H89" s="17"/>
      <c r="I89" s="17"/>
    </row>
    <row r="90" spans="1:9" x14ac:dyDescent="0.25">
      <c r="A90" s="5" t="s">
        <v>301</v>
      </c>
      <c r="B90" s="106" t="s">
        <v>302</v>
      </c>
      <c r="C90" s="104"/>
      <c r="D90" s="104"/>
      <c r="E90" s="104"/>
      <c r="F90" s="104"/>
      <c r="G90" s="115"/>
      <c r="H90" s="17"/>
      <c r="I90" s="17"/>
    </row>
    <row r="91" spans="1:9" x14ac:dyDescent="0.25">
      <c r="A91" s="5" t="s">
        <v>303</v>
      </c>
      <c r="B91" s="106" t="s">
        <v>304</v>
      </c>
      <c r="C91" s="104"/>
      <c r="D91" s="104"/>
      <c r="E91" s="104"/>
      <c r="F91" s="104"/>
      <c r="G91" s="115"/>
      <c r="H91" s="17">
        <v>488</v>
      </c>
      <c r="I91" s="17">
        <v>549</v>
      </c>
    </row>
    <row r="92" spans="1:9" x14ac:dyDescent="0.25">
      <c r="A92" s="5" t="s">
        <v>305</v>
      </c>
      <c r="B92" s="106" t="s">
        <v>306</v>
      </c>
      <c r="C92" s="104"/>
      <c r="D92" s="104"/>
      <c r="E92" s="104"/>
      <c r="F92" s="104"/>
      <c r="G92" s="115"/>
      <c r="H92" s="17"/>
      <c r="I92" s="17"/>
    </row>
    <row r="93" spans="1:9" x14ac:dyDescent="0.25">
      <c r="A93" s="5" t="s">
        <v>307</v>
      </c>
      <c r="B93" s="106" t="s">
        <v>308</v>
      </c>
      <c r="C93" s="104"/>
      <c r="D93" s="104"/>
      <c r="E93" s="104"/>
      <c r="F93" s="104"/>
      <c r="G93" s="115"/>
      <c r="H93" s="17"/>
      <c r="I93" s="17"/>
    </row>
    <row r="94" spans="1:9" x14ac:dyDescent="0.25">
      <c r="A94" s="5" t="s">
        <v>309</v>
      </c>
      <c r="B94" s="106" t="s">
        <v>310</v>
      </c>
      <c r="C94" s="104"/>
      <c r="D94" s="104"/>
      <c r="E94" s="104"/>
      <c r="F94" s="104"/>
      <c r="G94" s="115"/>
      <c r="H94" s="17"/>
      <c r="I94" s="17"/>
    </row>
    <row r="95" spans="1:9" x14ac:dyDescent="0.25">
      <c r="A95" s="5" t="s">
        <v>311</v>
      </c>
      <c r="B95" s="106" t="s">
        <v>312</v>
      </c>
      <c r="C95" s="104"/>
      <c r="D95" s="104"/>
      <c r="E95" s="104"/>
      <c r="F95" s="104"/>
      <c r="G95" s="115"/>
      <c r="H95" s="17">
        <f>2062.72+115.5</f>
        <v>2178.2199999999998</v>
      </c>
      <c r="I95" s="17">
        <f>2623.13+326.05</f>
        <v>2949.1800000000003</v>
      </c>
    </row>
    <row r="96" spans="1:9" ht="15.75" thickBot="1" x14ac:dyDescent="0.3">
      <c r="A96" s="69" t="s">
        <v>313</v>
      </c>
      <c r="B96" s="106" t="s">
        <v>314</v>
      </c>
      <c r="C96" s="104"/>
      <c r="D96" s="104"/>
      <c r="E96" s="104"/>
      <c r="F96" s="104"/>
      <c r="G96" s="115"/>
      <c r="H96" s="17">
        <v>14170.93</v>
      </c>
      <c r="I96" s="17">
        <f>1863.28+500</f>
        <v>2363.2799999999997</v>
      </c>
    </row>
    <row r="97" spans="1:9" ht="15.75" thickBot="1" x14ac:dyDescent="0.3">
      <c r="A97" s="5" t="s">
        <v>315</v>
      </c>
      <c r="B97" s="103" t="s">
        <v>316</v>
      </c>
      <c r="C97" s="104"/>
      <c r="D97" s="104"/>
      <c r="E97" s="104"/>
      <c r="F97" s="104"/>
      <c r="G97" s="115"/>
      <c r="H97" s="19">
        <f>SUM(H89:H96)</f>
        <v>16837.150000000001</v>
      </c>
      <c r="I97" s="19">
        <f>SUM(I89:I96)</f>
        <v>5861.46</v>
      </c>
    </row>
    <row r="98" spans="1:9" ht="16.5" thickTop="1" thickBot="1" x14ac:dyDescent="0.3">
      <c r="A98" s="10"/>
      <c r="B98" s="10"/>
      <c r="C98" s="10"/>
      <c r="D98" s="10"/>
      <c r="E98" s="10"/>
      <c r="F98" s="10"/>
      <c r="G98" s="10"/>
      <c r="H98" s="11"/>
      <c r="I98" s="11"/>
    </row>
    <row r="99" spans="1:9" ht="16.5" thickTop="1" thickBot="1" x14ac:dyDescent="0.3">
      <c r="A99" s="12" t="str">
        <f>A1</f>
        <v>Cod Sez</v>
      </c>
      <c r="B99" s="12" t="str">
        <f>B1</f>
        <v xml:space="preserve">Avis Comunale di Brescia </v>
      </c>
      <c r="C99" s="27"/>
      <c r="D99" s="27"/>
      <c r="E99" s="27"/>
      <c r="F99" s="27"/>
      <c r="G99" s="27"/>
      <c r="H99" s="28"/>
      <c r="I99" s="28"/>
    </row>
    <row r="100" spans="1:9" ht="16.5" thickTop="1" thickBot="1" x14ac:dyDescent="0.3">
      <c r="A100" s="8" t="s">
        <v>317</v>
      </c>
      <c r="B100" s="116" t="s">
        <v>247</v>
      </c>
      <c r="C100" s="117"/>
      <c r="D100" s="117"/>
      <c r="E100" s="117"/>
      <c r="F100" s="117"/>
      <c r="G100" s="118"/>
      <c r="H100" s="29" t="s">
        <v>154</v>
      </c>
      <c r="I100" s="29" t="s">
        <v>154</v>
      </c>
    </row>
    <row r="101" spans="1:9" x14ac:dyDescent="0.25">
      <c r="A101" s="5" t="s">
        <v>318</v>
      </c>
      <c r="B101" s="119" t="s">
        <v>319</v>
      </c>
      <c r="C101" s="120"/>
      <c r="D101" s="120"/>
      <c r="E101" s="120"/>
      <c r="F101" s="120"/>
      <c r="G101" s="121"/>
      <c r="H101" s="30"/>
      <c r="I101" s="30"/>
    </row>
    <row r="102" spans="1:9" x14ac:dyDescent="0.25">
      <c r="A102" s="5" t="s">
        <v>320</v>
      </c>
      <c r="B102" s="106" t="s">
        <v>321</v>
      </c>
      <c r="C102" s="104"/>
      <c r="D102" s="104"/>
      <c r="E102" s="104"/>
      <c r="F102" s="104"/>
      <c r="G102" s="105"/>
      <c r="H102" s="30"/>
      <c r="I102" s="30"/>
    </row>
    <row r="103" spans="1:9" ht="15.75" thickBot="1" x14ac:dyDescent="0.3">
      <c r="A103" s="5" t="s">
        <v>322</v>
      </c>
      <c r="B103" s="106" t="s">
        <v>323</v>
      </c>
      <c r="C103" s="104"/>
      <c r="D103" s="104"/>
      <c r="E103" s="104"/>
      <c r="F103" s="104"/>
      <c r="G103" s="105"/>
      <c r="H103" s="30"/>
      <c r="I103" s="30"/>
    </row>
    <row r="104" spans="1:9" ht="15.75" thickBot="1" x14ac:dyDescent="0.3">
      <c r="A104" s="18" t="s">
        <v>324</v>
      </c>
      <c r="B104" s="103" t="s">
        <v>325</v>
      </c>
      <c r="C104" s="104"/>
      <c r="D104" s="104"/>
      <c r="E104" s="104"/>
      <c r="F104" s="104"/>
      <c r="G104" s="105"/>
      <c r="H104" s="31">
        <f>SUM(H101:H103)</f>
        <v>0</v>
      </c>
      <c r="I104" s="31">
        <f>SUM(I101:I103)</f>
        <v>0</v>
      </c>
    </row>
    <row r="105" spans="1:9" ht="15.75" thickTop="1" x14ac:dyDescent="0.25">
      <c r="A105" s="5" t="s">
        <v>326</v>
      </c>
      <c r="B105" s="106" t="s">
        <v>327</v>
      </c>
      <c r="C105" s="104"/>
      <c r="D105" s="104"/>
      <c r="E105" s="104"/>
      <c r="F105" s="104"/>
      <c r="G105" s="105"/>
      <c r="H105" s="30"/>
      <c r="I105" s="30"/>
    </row>
    <row r="106" spans="1:9" x14ac:dyDescent="0.25">
      <c r="A106" s="5" t="s">
        <v>328</v>
      </c>
      <c r="B106" s="106" t="s">
        <v>329</v>
      </c>
      <c r="C106" s="104"/>
      <c r="D106" s="104"/>
      <c r="E106" s="104"/>
      <c r="F106" s="104"/>
      <c r="G106" s="105"/>
      <c r="H106" s="30">
        <f>6340.97+6491.37</f>
        <v>12832.34</v>
      </c>
      <c r="I106" s="30">
        <f>7043.26+173.97+1980.04+1654.25</f>
        <v>10851.52</v>
      </c>
    </row>
    <row r="107" spans="1:9" ht="15.75" thickBot="1" x14ac:dyDescent="0.3">
      <c r="A107" s="5" t="s">
        <v>330</v>
      </c>
      <c r="B107" s="106" t="s">
        <v>331</v>
      </c>
      <c r="C107" s="104"/>
      <c r="D107" s="104"/>
      <c r="E107" s="104"/>
      <c r="F107" s="104"/>
      <c r="G107" s="105"/>
      <c r="H107" s="30"/>
      <c r="I107" s="30"/>
    </row>
    <row r="108" spans="1:9" ht="15.75" thickBot="1" x14ac:dyDescent="0.3">
      <c r="A108" s="18" t="s">
        <v>332</v>
      </c>
      <c r="B108" s="103" t="s">
        <v>333</v>
      </c>
      <c r="C108" s="104"/>
      <c r="D108" s="104"/>
      <c r="E108" s="104"/>
      <c r="F108" s="104"/>
      <c r="G108" s="105"/>
      <c r="H108" s="31">
        <f>SUM(H105:H107)</f>
        <v>12832.34</v>
      </c>
      <c r="I108" s="31">
        <f>SUM(I105:I107)</f>
        <v>10851.52</v>
      </c>
    </row>
    <row r="109" spans="1:9" ht="15.75" thickTop="1" x14ac:dyDescent="0.25">
      <c r="A109" s="5" t="s">
        <v>334</v>
      </c>
      <c r="B109" s="106" t="s">
        <v>335</v>
      </c>
      <c r="C109" s="104"/>
      <c r="D109" s="104"/>
      <c r="E109" s="104"/>
      <c r="F109" s="104"/>
      <c r="G109" s="105"/>
      <c r="H109" s="30"/>
      <c r="I109" s="30"/>
    </row>
    <row r="110" spans="1:9" x14ac:dyDescent="0.25">
      <c r="A110" s="5" t="s">
        <v>336</v>
      </c>
      <c r="B110" s="106" t="s">
        <v>337</v>
      </c>
      <c r="C110" s="104"/>
      <c r="D110" s="104"/>
      <c r="E110" s="104"/>
      <c r="F110" s="104"/>
      <c r="G110" s="105"/>
      <c r="H110" s="30">
        <v>51</v>
      </c>
      <c r="I110" s="30">
        <v>306</v>
      </c>
    </row>
    <row r="111" spans="1:9" x14ac:dyDescent="0.25">
      <c r="A111" s="5" t="s">
        <v>338</v>
      </c>
      <c r="B111" s="106" t="s">
        <v>339</v>
      </c>
      <c r="C111" s="104"/>
      <c r="D111" s="104"/>
      <c r="E111" s="104"/>
      <c r="F111" s="104"/>
      <c r="G111" s="105"/>
      <c r="H111" s="30">
        <f>101.33+199.54</f>
        <v>300.87</v>
      </c>
      <c r="I111" s="30">
        <f>245.78+219.39</f>
        <v>465.16999999999996</v>
      </c>
    </row>
    <row r="112" spans="1:9" s="97" customFormat="1" ht="15.75" thickBot="1" x14ac:dyDescent="0.3">
      <c r="A112" s="95" t="s">
        <v>344</v>
      </c>
      <c r="B112" s="106" t="s">
        <v>390</v>
      </c>
      <c r="C112" s="113"/>
      <c r="D112" s="113"/>
      <c r="E112" s="113"/>
      <c r="F112" s="113"/>
      <c r="G112" s="114"/>
      <c r="H112" s="98">
        <v>2419.7600000000002</v>
      </c>
      <c r="I112" s="98">
        <f>2419.76+288</f>
        <v>2707.76</v>
      </c>
    </row>
    <row r="113" spans="1:9" ht="15.75" thickBot="1" x14ac:dyDescent="0.3">
      <c r="A113" s="18" t="s">
        <v>340</v>
      </c>
      <c r="B113" s="103" t="s">
        <v>341</v>
      </c>
      <c r="C113" s="104"/>
      <c r="D113" s="104"/>
      <c r="E113" s="104"/>
      <c r="F113" s="104"/>
      <c r="G113" s="105"/>
      <c r="H113" s="31">
        <f>SUM(H109:H112)</f>
        <v>2771.63</v>
      </c>
      <c r="I113" s="31">
        <f>SUM(I109:I112)</f>
        <v>3478.9300000000003</v>
      </c>
    </row>
    <row r="114" spans="1:9" ht="15.75" thickTop="1" x14ac:dyDescent="0.25">
      <c r="A114" s="5" t="s">
        <v>342</v>
      </c>
      <c r="B114" s="106" t="s">
        <v>343</v>
      </c>
      <c r="C114" s="104"/>
      <c r="D114" s="104"/>
      <c r="E114" s="104"/>
      <c r="F114" s="104"/>
      <c r="G114" s="105"/>
      <c r="H114" s="30"/>
      <c r="I114" s="30"/>
    </row>
    <row r="115" spans="1:9" x14ac:dyDescent="0.25">
      <c r="A115" s="5" t="s">
        <v>344</v>
      </c>
      <c r="B115" s="106" t="s">
        <v>345</v>
      </c>
      <c r="C115" s="104"/>
      <c r="D115" s="104"/>
      <c r="E115" s="104"/>
      <c r="F115" s="104"/>
      <c r="G115" s="105"/>
      <c r="H115" s="30"/>
      <c r="I115" s="30"/>
    </row>
    <row r="116" spans="1:9" x14ac:dyDescent="0.25">
      <c r="A116" s="5" t="s">
        <v>346</v>
      </c>
      <c r="B116" s="100" t="s">
        <v>347</v>
      </c>
      <c r="C116" s="101"/>
      <c r="D116" s="101"/>
      <c r="E116" s="101"/>
      <c r="F116" s="101"/>
      <c r="G116" s="102"/>
      <c r="H116" s="30"/>
      <c r="I116" s="30"/>
    </row>
    <row r="117" spans="1:9" ht="15.75" thickBot="1" x14ac:dyDescent="0.3">
      <c r="A117" s="5" t="s">
        <v>348</v>
      </c>
      <c r="B117" s="100" t="s">
        <v>349</v>
      </c>
      <c r="C117" s="101"/>
      <c r="D117" s="101"/>
      <c r="E117" s="101"/>
      <c r="F117" s="101"/>
      <c r="G117" s="102"/>
      <c r="H117" s="30"/>
      <c r="I117" s="30"/>
    </row>
    <row r="118" spans="1:9" ht="15.75" thickBot="1" x14ac:dyDescent="0.3">
      <c r="A118" s="18" t="s">
        <v>350</v>
      </c>
      <c r="B118" s="103" t="s">
        <v>351</v>
      </c>
      <c r="C118" s="104"/>
      <c r="D118" s="104"/>
      <c r="E118" s="104"/>
      <c r="F118" s="104"/>
      <c r="G118" s="105"/>
      <c r="H118" s="31">
        <f>SUM(H114:H117)</f>
        <v>0</v>
      </c>
      <c r="I118" s="31">
        <f>SUM(I114:I117)</f>
        <v>0</v>
      </c>
    </row>
    <row r="119" spans="1:9" ht="15.75" thickTop="1" x14ac:dyDescent="0.25">
      <c r="A119" s="5" t="s">
        <v>352</v>
      </c>
      <c r="B119" s="106" t="s">
        <v>353</v>
      </c>
      <c r="C119" s="104"/>
      <c r="D119" s="104"/>
      <c r="E119" s="104"/>
      <c r="F119" s="104"/>
      <c r="G119" s="105"/>
      <c r="H119" s="30">
        <v>2606.2399999999998</v>
      </c>
      <c r="I119" s="30">
        <v>2936.24</v>
      </c>
    </row>
    <row r="120" spans="1:9" x14ac:dyDescent="0.25">
      <c r="A120" s="5" t="s">
        <v>354</v>
      </c>
      <c r="B120" s="106" t="s">
        <v>355</v>
      </c>
      <c r="C120" s="104"/>
      <c r="D120" s="104"/>
      <c r="E120" s="104"/>
      <c r="F120" s="104"/>
      <c r="G120" s="105"/>
      <c r="H120" s="30"/>
      <c r="I120" s="30"/>
    </row>
    <row r="121" spans="1:9" x14ac:dyDescent="0.25">
      <c r="A121" s="69" t="s">
        <v>356</v>
      </c>
      <c r="B121" s="106" t="s">
        <v>357</v>
      </c>
      <c r="C121" s="104"/>
      <c r="D121" s="104"/>
      <c r="E121" s="104"/>
      <c r="F121" s="104"/>
      <c r="G121" s="105"/>
      <c r="H121" s="30"/>
      <c r="I121" s="30"/>
    </row>
    <row r="122" spans="1:9" ht="15.75" thickBot="1" x14ac:dyDescent="0.3">
      <c r="A122" s="5" t="s">
        <v>358</v>
      </c>
      <c r="B122" s="106" t="s">
        <v>359</v>
      </c>
      <c r="C122" s="104"/>
      <c r="D122" s="104"/>
      <c r="E122" s="104"/>
      <c r="F122" s="104"/>
      <c r="G122" s="105"/>
      <c r="H122" s="30">
        <f>2651.17+2734+500+420+601.65+4.33+5299.03</f>
        <v>12210.18</v>
      </c>
      <c r="I122" s="30">
        <f>3073.53+1496+657.23+114.7+2.71+1805</f>
        <v>7149.17</v>
      </c>
    </row>
    <row r="123" spans="1:9" ht="19.5" thickBot="1" x14ac:dyDescent="0.35">
      <c r="A123" s="22" t="s">
        <v>360</v>
      </c>
      <c r="B123" s="107" t="s">
        <v>361</v>
      </c>
      <c r="C123" s="108"/>
      <c r="D123" s="108"/>
      <c r="E123" s="108"/>
      <c r="F123" s="108"/>
      <c r="G123" s="109"/>
      <c r="H123" s="32">
        <f>SUM(H62,H63,H77,H82,H88,H97,H104,H108,H113,H118,H119,H120,H121,H122)</f>
        <v>206217.74</v>
      </c>
      <c r="I123" s="32">
        <f>SUM(I62,I63,I77,I82,I88,I97,I104,I108,I113,I118,I119,I120,I121,I122)</f>
        <v>168099.11999999997</v>
      </c>
    </row>
    <row r="124" spans="1:9" ht="19.5" thickTop="1" x14ac:dyDescent="0.3">
      <c r="A124" s="23"/>
      <c r="B124" s="24"/>
      <c r="C124" s="24"/>
      <c r="D124" s="24"/>
      <c r="E124" s="24"/>
      <c r="F124" s="24"/>
      <c r="G124" s="24"/>
      <c r="H124" s="26"/>
      <c r="I124" s="26"/>
    </row>
    <row r="125" spans="1:9" ht="18.75" x14ac:dyDescent="0.3">
      <c r="A125" s="23"/>
      <c r="B125" s="24"/>
      <c r="C125" s="24"/>
      <c r="D125" s="24"/>
      <c r="E125" s="24"/>
      <c r="F125" s="99" t="s">
        <v>388</v>
      </c>
      <c r="G125" s="99"/>
      <c r="H125" s="94">
        <f>H55-H123</f>
        <v>-37238.169999999984</v>
      </c>
      <c r="I125" s="94">
        <f>I55-I123</f>
        <v>-10253.049999999988</v>
      </c>
    </row>
    <row r="126" spans="1:9" x14ac:dyDescent="0.25">
      <c r="A126" s="10"/>
      <c r="B126" s="10"/>
      <c r="C126" s="10"/>
      <c r="D126" s="10"/>
      <c r="E126" s="10"/>
      <c r="F126" s="10"/>
      <c r="G126" s="10"/>
      <c r="H126" s="11"/>
      <c r="I126" s="11"/>
    </row>
    <row r="127" spans="1:9" x14ac:dyDescent="0.25">
      <c r="A127" s="33" t="s">
        <v>393</v>
      </c>
      <c r="B127" s="34"/>
      <c r="C127" s="34"/>
      <c r="D127" s="34"/>
      <c r="E127" s="34"/>
      <c r="F127" s="34"/>
      <c r="G127" s="34"/>
      <c r="H127" s="35"/>
      <c r="I127" s="35"/>
    </row>
    <row r="128" spans="1:9" x14ac:dyDescent="0.25">
      <c r="A128" s="33" t="s">
        <v>362</v>
      </c>
      <c r="B128" s="34"/>
      <c r="C128" s="34"/>
      <c r="D128" s="34"/>
      <c r="E128" s="34"/>
      <c r="F128" s="36"/>
      <c r="G128" s="34"/>
      <c r="H128" s="35"/>
      <c r="I128" s="35"/>
    </row>
    <row r="129" spans="1:9" x14ac:dyDescent="0.25">
      <c r="A129" s="33" t="s">
        <v>394</v>
      </c>
      <c r="B129" s="34"/>
      <c r="C129" s="34"/>
      <c r="D129" s="34"/>
      <c r="E129" s="34"/>
      <c r="F129" s="34"/>
      <c r="G129" s="34"/>
      <c r="H129" s="35"/>
      <c r="I129" s="35"/>
    </row>
    <row r="130" spans="1:9" x14ac:dyDescent="0.25">
      <c r="A130" s="33" t="s">
        <v>395</v>
      </c>
      <c r="B130" s="34"/>
      <c r="C130" s="34"/>
      <c r="D130" s="34"/>
      <c r="E130" s="34"/>
      <c r="F130" s="34"/>
      <c r="G130" s="34"/>
      <c r="H130" s="35"/>
      <c r="I130" s="35"/>
    </row>
    <row r="131" spans="1:9" x14ac:dyDescent="0.25">
      <c r="A131" s="33"/>
      <c r="B131" s="34"/>
      <c r="C131" s="34"/>
      <c r="D131" s="34"/>
      <c r="E131" s="34"/>
      <c r="F131" s="34"/>
      <c r="G131" s="34"/>
      <c r="H131" s="35"/>
      <c r="I131" s="35"/>
    </row>
    <row r="132" spans="1:9" x14ac:dyDescent="0.25">
      <c r="A132" s="33" t="s">
        <v>363</v>
      </c>
      <c r="B132" s="34"/>
      <c r="C132" s="34"/>
      <c r="D132" s="34"/>
      <c r="E132" s="34"/>
      <c r="F132" s="34"/>
      <c r="G132" s="34"/>
      <c r="H132" s="35"/>
      <c r="I132" s="35"/>
    </row>
    <row r="133" spans="1:9" x14ac:dyDescent="0.25">
      <c r="A133" s="37"/>
      <c r="B133" s="38"/>
      <c r="C133" s="38"/>
      <c r="D133" s="34"/>
      <c r="E133" s="34"/>
      <c r="F133" s="38"/>
      <c r="G133" s="38"/>
      <c r="H133" s="35"/>
      <c r="I133" s="35"/>
    </row>
    <row r="134" spans="1:9" x14ac:dyDescent="0.25">
      <c r="A134" s="39"/>
      <c r="B134" s="41"/>
      <c r="C134" s="41"/>
      <c r="D134" s="34"/>
      <c r="E134" s="34"/>
      <c r="F134" s="34"/>
      <c r="G134" s="34"/>
      <c r="H134" s="35"/>
      <c r="I134" s="35"/>
    </row>
    <row r="135" spans="1:9" x14ac:dyDescent="0.25">
      <c r="A135" s="39"/>
      <c r="B135" s="41"/>
      <c r="C135" s="41"/>
      <c r="D135" s="34"/>
      <c r="E135" s="34"/>
      <c r="F135" s="34"/>
      <c r="G135" s="34"/>
      <c r="H135" s="35"/>
      <c r="I135" s="35"/>
    </row>
    <row r="136" spans="1:9" x14ac:dyDescent="0.25">
      <c r="A136" s="33"/>
      <c r="B136" s="34"/>
      <c r="C136" s="34"/>
      <c r="D136" s="34"/>
      <c r="E136" s="34"/>
      <c r="F136" s="34"/>
      <c r="G136" s="34"/>
      <c r="H136" s="35"/>
      <c r="I136" s="35"/>
    </row>
    <row r="137" spans="1:9" x14ac:dyDescent="0.25">
      <c r="A137" s="33" t="s">
        <v>364</v>
      </c>
      <c r="B137" s="34"/>
      <c r="C137" s="34"/>
      <c r="D137" s="34"/>
      <c r="E137" s="34"/>
      <c r="F137" s="34"/>
      <c r="G137" s="34"/>
      <c r="H137" s="35"/>
      <c r="I137" s="35"/>
    </row>
    <row r="138" spans="1:9" x14ac:dyDescent="0.25">
      <c r="A138" s="37"/>
      <c r="B138" s="38"/>
      <c r="C138" s="38"/>
      <c r="D138" s="34"/>
      <c r="E138" s="34"/>
      <c r="F138" s="38"/>
      <c r="G138" s="38"/>
      <c r="H138" s="35"/>
      <c r="I138" s="35"/>
    </row>
    <row r="139" spans="1:9" x14ac:dyDescent="0.25">
      <c r="A139" s="33"/>
      <c r="B139" s="34"/>
      <c r="C139" s="34"/>
      <c r="D139" s="34"/>
      <c r="E139" s="34"/>
      <c r="F139" s="34"/>
      <c r="G139" s="34"/>
      <c r="H139" s="35"/>
      <c r="I139" s="35"/>
    </row>
    <row r="140" spans="1:9" x14ac:dyDescent="0.25">
      <c r="A140" s="10"/>
      <c r="B140" s="10"/>
      <c r="C140" s="10"/>
      <c r="D140" s="10"/>
      <c r="E140" s="10"/>
      <c r="F140" s="10"/>
      <c r="G140" s="10"/>
      <c r="H140" s="11"/>
      <c r="I140" s="11"/>
    </row>
    <row r="141" spans="1:9" x14ac:dyDescent="0.25">
      <c r="A141" s="10"/>
      <c r="B141" s="10"/>
      <c r="C141" s="10"/>
      <c r="D141" s="10"/>
      <c r="E141" s="10"/>
      <c r="F141" s="10"/>
      <c r="G141" s="10"/>
      <c r="H141" s="11"/>
      <c r="I141" s="11"/>
    </row>
  </sheetData>
  <sheetProtection formatCells="0" formatColumns="0" formatRows="0"/>
  <protectedRanges>
    <protectedRange sqref="F128" name="Intervallo2"/>
  </protectedRanges>
  <mergeCells count="118">
    <mergeCell ref="B8:G8"/>
    <mergeCell ref="B9:G9"/>
    <mergeCell ref="B10:G10"/>
    <mergeCell ref="B11:G11"/>
    <mergeCell ref="B12:G12"/>
    <mergeCell ref="B13:G13"/>
    <mergeCell ref="B1:G1"/>
    <mergeCell ref="B2:G2"/>
    <mergeCell ref="B3:G3"/>
    <mergeCell ref="B4:G4"/>
    <mergeCell ref="B6:G6"/>
    <mergeCell ref="B7:G7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32:G32"/>
    <mergeCell ref="B33:G33"/>
    <mergeCell ref="B36:G36"/>
    <mergeCell ref="B37:G37"/>
    <mergeCell ref="B38:G38"/>
    <mergeCell ref="B39:G39"/>
    <mergeCell ref="B26:G26"/>
    <mergeCell ref="B27:G27"/>
    <mergeCell ref="B28:G28"/>
    <mergeCell ref="B29:G29"/>
    <mergeCell ref="B30:G30"/>
    <mergeCell ref="B31:G31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60:G60"/>
    <mergeCell ref="B61:G61"/>
    <mergeCell ref="B62:G62"/>
    <mergeCell ref="B63:G63"/>
    <mergeCell ref="B64:G64"/>
    <mergeCell ref="B65:G65"/>
    <mergeCell ref="B52:G52"/>
    <mergeCell ref="B53:G53"/>
    <mergeCell ref="B54:G54"/>
    <mergeCell ref="B55:G55"/>
    <mergeCell ref="B58:G58"/>
    <mergeCell ref="B59:G59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84:G84"/>
    <mergeCell ref="B85:G85"/>
    <mergeCell ref="B86:G86"/>
    <mergeCell ref="B87:G87"/>
    <mergeCell ref="B88:G88"/>
    <mergeCell ref="B89:G89"/>
    <mergeCell ref="B78:G78"/>
    <mergeCell ref="B79:G79"/>
    <mergeCell ref="B80:G80"/>
    <mergeCell ref="B81:G81"/>
    <mergeCell ref="B82:G82"/>
    <mergeCell ref="B83:G83"/>
    <mergeCell ref="B100:G100"/>
    <mergeCell ref="B101:G101"/>
    <mergeCell ref="B102:G102"/>
    <mergeCell ref="B103:G103"/>
    <mergeCell ref="B90:G90"/>
    <mergeCell ref="B91:G91"/>
    <mergeCell ref="B92:G92"/>
    <mergeCell ref="B93:G93"/>
    <mergeCell ref="B94:G94"/>
    <mergeCell ref="B95:G95"/>
    <mergeCell ref="F125:G125"/>
    <mergeCell ref="B117:G117"/>
    <mergeCell ref="B118:G118"/>
    <mergeCell ref="B119:G119"/>
    <mergeCell ref="B120:G120"/>
    <mergeCell ref="B121:G121"/>
    <mergeCell ref="B122:G122"/>
    <mergeCell ref="B123:G123"/>
    <mergeCell ref="B5:G5"/>
    <mergeCell ref="B112:G112"/>
    <mergeCell ref="B110:G110"/>
    <mergeCell ref="B111:G111"/>
    <mergeCell ref="B113:G113"/>
    <mergeCell ref="B114:G114"/>
    <mergeCell ref="B115:G115"/>
    <mergeCell ref="B116:G116"/>
    <mergeCell ref="B104:G104"/>
    <mergeCell ref="B105:G105"/>
    <mergeCell ref="B106:G106"/>
    <mergeCell ref="B107:G107"/>
    <mergeCell ref="B108:G108"/>
    <mergeCell ref="B109:G109"/>
    <mergeCell ref="B96:G96"/>
    <mergeCell ref="B97:G97"/>
  </mergeCells>
  <phoneticPr fontId="22" type="noConversion"/>
  <conditionalFormatting sqref="H36:I36 H2:I2">
    <cfRule type="cellIs" dxfId="0" priority="3" stopIfTrue="1" operator="notEqual">
      <formula>"Quadra"</formula>
    </cfRule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>
    <oddFooter>&amp;CPagina &amp;P di &amp;N</oddFooter>
  </headerFooter>
  <rowBreaks count="4" manualBreakCount="4">
    <brk id="33" max="8" man="1"/>
    <brk id="55" max="8" man="1"/>
    <brk id="97" max="8" man="1"/>
    <brk id="13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C146"/>
  <sheetViews>
    <sheetView topLeftCell="A37" workbookViewId="0"/>
  </sheetViews>
  <sheetFormatPr defaultColWidth="0" defaultRowHeight="15" zeroHeight="1" x14ac:dyDescent="0.25"/>
  <cols>
    <col min="1" max="1" width="5.85546875" style="45" customWidth="1"/>
    <col min="2" max="2" width="49.42578125" bestFit="1" customWidth="1"/>
    <col min="3" max="3" width="31.5703125" style="83" customWidth="1"/>
  </cols>
  <sheetData>
    <row r="1" spans="1:3" ht="17.25" x14ac:dyDescent="0.25">
      <c r="A1" s="71" t="s">
        <v>0</v>
      </c>
      <c r="B1" s="65"/>
      <c r="C1" s="75"/>
    </row>
    <row r="2" spans="1:3" ht="15.75" x14ac:dyDescent="0.25">
      <c r="A2" s="47"/>
      <c r="B2" s="48" t="s">
        <v>368</v>
      </c>
      <c r="C2" s="76"/>
    </row>
    <row r="3" spans="1:3" s="43" customFormat="1" ht="15.75" x14ac:dyDescent="0.25">
      <c r="A3" s="54">
        <v>1</v>
      </c>
      <c r="B3" s="55" t="s">
        <v>1</v>
      </c>
      <c r="C3" s="77">
        <f>SUM(C4:C12)</f>
        <v>163028.08000000002</v>
      </c>
    </row>
    <row r="4" spans="1:3" x14ac:dyDescent="0.25">
      <c r="A4" s="49">
        <v>4.2361111111111106E-2</v>
      </c>
      <c r="B4" s="50" t="s">
        <v>2</v>
      </c>
      <c r="C4" s="88">
        <f>'Bilancio Avis'!I71+'Bilancio Avis'!I72+'Bilancio Avis'!I63</f>
        <v>7585.58</v>
      </c>
    </row>
    <row r="5" spans="1:3" x14ac:dyDescent="0.25">
      <c r="A5" s="49">
        <v>4.3055555555555562E-2</v>
      </c>
      <c r="B5" s="50" t="s">
        <v>3</v>
      </c>
      <c r="C5" s="88">
        <f>'Bilancio Avis'!I65+'Bilancio Avis'!I68+'Bilancio Avis'!I67+'Bilancio Avis'!I66+'Bilancio Avis'!I69+'Bilancio Avis'!I74+'Bilancio Avis'!I75+'Bilancio Avis'!I83+'Bilancio Avis'!I84+'Bilancio Avis'!I86+'Bilancio Avis'!I87+'Bilancio Avis'!I70</f>
        <v>23637.480000000003</v>
      </c>
    </row>
    <row r="6" spans="1:3" x14ac:dyDescent="0.25">
      <c r="A6" s="49">
        <v>4.3750000000000004E-2</v>
      </c>
      <c r="B6" s="50" t="s">
        <v>4</v>
      </c>
      <c r="C6" s="88">
        <f>'Bilancio Avis'!I64</f>
        <v>3600</v>
      </c>
    </row>
    <row r="7" spans="1:3" x14ac:dyDescent="0.25">
      <c r="A7" s="49">
        <v>4.4444444444444446E-2</v>
      </c>
      <c r="B7" s="50" t="s">
        <v>5</v>
      </c>
      <c r="C7" s="88">
        <f>'Bilancio Avis'!I78+'Bilancio Avis'!I79+'Bilancio Avis'!I80+'Bilancio Avis'!I81</f>
        <v>58283.39</v>
      </c>
    </row>
    <row r="8" spans="1:3" x14ac:dyDescent="0.25">
      <c r="A8" s="49">
        <v>4.5138888888888888E-2</v>
      </c>
      <c r="B8" s="50" t="s">
        <v>6</v>
      </c>
      <c r="C8" s="88">
        <f>'Bilancio Avis'!I119+'Bilancio Avis'!I85</f>
        <v>24933.239999999998</v>
      </c>
    </row>
    <row r="9" spans="1:3" x14ac:dyDescent="0.25">
      <c r="A9" s="49">
        <v>4.5833333333333337E-2</v>
      </c>
      <c r="B9" s="50" t="s">
        <v>7</v>
      </c>
      <c r="C9" s="88">
        <f>'Bilancio Avis'!I73</f>
        <v>1963.17</v>
      </c>
    </row>
    <row r="10" spans="1:3" x14ac:dyDescent="0.25">
      <c r="A10" s="49">
        <v>4.6527777777777779E-2</v>
      </c>
      <c r="B10" s="50" t="s">
        <v>8</v>
      </c>
      <c r="C10" s="88">
        <f>'Bilancio Avis'!I101+'Bilancio Avis'!I102+'Bilancio Avis'!I103+'Bilancio Avis'!I76</f>
        <v>3746.11</v>
      </c>
    </row>
    <row r="11" spans="1:3" x14ac:dyDescent="0.25">
      <c r="A11" s="49">
        <v>4.7222222222222221E-2</v>
      </c>
      <c r="B11" s="50" t="s">
        <v>9</v>
      </c>
      <c r="C11" s="88">
        <f>'Bilancio Avis'!I109+'Bilancio Avis'!I110+'Bilancio Avis'!I111+'Bilancio Avis'!I114+'Bilancio Avis'!I115+'Bilancio Avis'!I116+'Bilancio Avis'!I117</f>
        <v>771.17</v>
      </c>
    </row>
    <row r="12" spans="1:3" x14ac:dyDescent="0.25">
      <c r="A12" s="49">
        <v>4.7916666666666663E-2</v>
      </c>
      <c r="B12" s="50" t="s">
        <v>10</v>
      </c>
      <c r="C12" s="88">
        <f>'Bilancio Avis'!I91+'Bilancio Avis'!I93+'Bilancio Avis'!I95+'Bilancio Avis'!I94+'Bilancio Avis'!I59+'Bilancio Avis'!I60+'Bilancio Avis'!I61+'Bilancio Avis'!I105+'Bilancio Avis'!I106+'Bilancio Avis'!I107+'Bilancio Avis'!I120+'Bilancio Avis'!I122+'Bilancio Avis'!I121</f>
        <v>38507.94</v>
      </c>
    </row>
    <row r="13" spans="1:3" x14ac:dyDescent="0.25">
      <c r="A13" s="51"/>
      <c r="B13" s="52"/>
      <c r="C13" s="88"/>
    </row>
    <row r="14" spans="1:3" s="43" customFormat="1" ht="31.5" x14ac:dyDescent="0.25">
      <c r="A14" s="54">
        <v>2</v>
      </c>
      <c r="B14" s="55" t="s">
        <v>11</v>
      </c>
      <c r="C14" s="77">
        <f>SUM(C15)</f>
        <v>0</v>
      </c>
    </row>
    <row r="15" spans="1:3" x14ac:dyDescent="0.25">
      <c r="A15" s="49">
        <v>8.4027777777777771E-2</v>
      </c>
      <c r="B15" s="50" t="s">
        <v>12</v>
      </c>
      <c r="C15" s="88">
        <v>0</v>
      </c>
    </row>
    <row r="16" spans="1:3" x14ac:dyDescent="0.25">
      <c r="A16" s="51"/>
      <c r="B16" s="52"/>
      <c r="C16" s="79"/>
    </row>
    <row r="17" spans="1:3" s="43" customFormat="1" ht="15.75" x14ac:dyDescent="0.25">
      <c r="A17" s="54">
        <v>3</v>
      </c>
      <c r="B17" s="55" t="s">
        <v>13</v>
      </c>
      <c r="C17" s="77">
        <f>C18</f>
        <v>0</v>
      </c>
    </row>
    <row r="18" spans="1:3" x14ac:dyDescent="0.25">
      <c r="A18" s="49">
        <v>0.12569444444444444</v>
      </c>
      <c r="B18" s="50" t="s">
        <v>14</v>
      </c>
      <c r="C18" s="88">
        <v>0</v>
      </c>
    </row>
    <row r="19" spans="1:3" x14ac:dyDescent="0.25">
      <c r="A19" s="51"/>
      <c r="B19" s="52"/>
      <c r="C19" s="79"/>
    </row>
    <row r="20" spans="1:3" s="43" customFormat="1" ht="15.75" x14ac:dyDescent="0.25">
      <c r="A20" s="54">
        <v>4</v>
      </c>
      <c r="B20" s="55" t="s">
        <v>15</v>
      </c>
      <c r="C20" s="77">
        <f>SUM(C21:C25)</f>
        <v>0</v>
      </c>
    </row>
    <row r="21" spans="1:3" x14ac:dyDescent="0.25">
      <c r="A21" s="49">
        <v>0.1673611111111111</v>
      </c>
      <c r="B21" s="50" t="s">
        <v>16</v>
      </c>
      <c r="C21" s="88">
        <v>0</v>
      </c>
    </row>
    <row r="22" spans="1:3" x14ac:dyDescent="0.25">
      <c r="A22" s="49">
        <v>0.16805555555555554</v>
      </c>
      <c r="B22" s="50" t="s">
        <v>17</v>
      </c>
      <c r="C22" s="88">
        <v>0</v>
      </c>
    </row>
    <row r="23" spans="1:3" x14ac:dyDescent="0.25">
      <c r="A23" s="49">
        <v>0.16874999999999998</v>
      </c>
      <c r="B23" s="50" t="s">
        <v>18</v>
      </c>
      <c r="C23" s="88">
        <v>0</v>
      </c>
    </row>
    <row r="24" spans="1:3" x14ac:dyDescent="0.25">
      <c r="A24" s="49">
        <v>0.16944444444444443</v>
      </c>
      <c r="B24" s="50" t="s">
        <v>19</v>
      </c>
      <c r="C24" s="88">
        <v>0</v>
      </c>
    </row>
    <row r="25" spans="1:3" x14ac:dyDescent="0.25">
      <c r="A25" s="49">
        <v>0.17013888888888887</v>
      </c>
      <c r="B25" s="50" t="s">
        <v>20</v>
      </c>
      <c r="C25" s="88">
        <v>0</v>
      </c>
    </row>
    <row r="26" spans="1:3" x14ac:dyDescent="0.25">
      <c r="A26" s="51"/>
      <c r="B26" s="52"/>
      <c r="C26" s="79"/>
    </row>
    <row r="27" spans="1:3" s="43" customFormat="1" ht="15.75" x14ac:dyDescent="0.25">
      <c r="A27" s="54">
        <v>5</v>
      </c>
      <c r="B27" s="55" t="s">
        <v>21</v>
      </c>
      <c r="C27" s="77">
        <f>SUM(C28:C34)</f>
        <v>2363.2799999999997</v>
      </c>
    </row>
    <row r="28" spans="1:3" x14ac:dyDescent="0.25">
      <c r="A28" s="49">
        <v>0.20902777777777778</v>
      </c>
      <c r="B28" s="50" t="s">
        <v>2</v>
      </c>
      <c r="C28" s="88">
        <v>0</v>
      </c>
    </row>
    <row r="29" spans="1:3" x14ac:dyDescent="0.25">
      <c r="A29" s="49">
        <v>0.20972222222222223</v>
      </c>
      <c r="B29" s="50" t="s">
        <v>3</v>
      </c>
      <c r="C29" s="88">
        <f>'Bilancio Avis'!I89+'Bilancio Avis'!I90+'Bilancio Avis'!I92</f>
        <v>0</v>
      </c>
    </row>
    <row r="30" spans="1:3" x14ac:dyDescent="0.25">
      <c r="A30" s="49">
        <v>0.21041666666666667</v>
      </c>
      <c r="B30" s="50" t="s">
        <v>4</v>
      </c>
      <c r="C30" s="88">
        <v>0</v>
      </c>
    </row>
    <row r="31" spans="1:3" x14ac:dyDescent="0.25">
      <c r="A31" s="49">
        <v>0.21111111111111111</v>
      </c>
      <c r="B31" s="50" t="s">
        <v>5</v>
      </c>
      <c r="C31" s="88">
        <v>0</v>
      </c>
    </row>
    <row r="32" spans="1:3" x14ac:dyDescent="0.25">
      <c r="A32" s="49">
        <v>0.21180555555555555</v>
      </c>
      <c r="B32" s="50" t="s">
        <v>6</v>
      </c>
      <c r="C32" s="88">
        <v>0</v>
      </c>
    </row>
    <row r="33" spans="1:3" x14ac:dyDescent="0.25">
      <c r="A33" s="49">
        <v>0.21249999999999999</v>
      </c>
      <c r="B33" s="50" t="s">
        <v>9</v>
      </c>
      <c r="C33" s="88">
        <v>0</v>
      </c>
    </row>
    <row r="34" spans="1:3" x14ac:dyDescent="0.25">
      <c r="A34" s="49">
        <v>0.21319444444444444</v>
      </c>
      <c r="B34" s="50" t="s">
        <v>10</v>
      </c>
      <c r="C34" s="88">
        <f>'Bilancio Avis'!I96</f>
        <v>2363.2799999999997</v>
      </c>
    </row>
    <row r="35" spans="1:3" x14ac:dyDescent="0.25">
      <c r="A35" s="49"/>
      <c r="B35" s="50"/>
      <c r="C35" s="78"/>
    </row>
    <row r="36" spans="1:3" ht="15.75" x14ac:dyDescent="0.25">
      <c r="A36" s="70"/>
      <c r="B36" s="64" t="s">
        <v>373</v>
      </c>
      <c r="C36" s="80">
        <f>C3+C14+C17+C20+C27</f>
        <v>165391.36000000002</v>
      </c>
    </row>
    <row r="37" spans="1:3" s="44" customFormat="1" ht="15.75" customHeight="1" x14ac:dyDescent="0.25">
      <c r="A37" s="56"/>
      <c r="B37" s="64" t="s">
        <v>22</v>
      </c>
      <c r="C37" s="81" t="str">
        <f>IF('Bilancio Avis'!I55&gt;'Bilancio Avis'!I123, ('Bilancio Avis'!I55-'Bilancio Avis'!I123), "-")</f>
        <v>-</v>
      </c>
    </row>
    <row r="38" spans="1:3" s="68" customFormat="1" ht="15.75" x14ac:dyDescent="0.25">
      <c r="A38" s="73"/>
      <c r="B38" s="74" t="str">
        <f>'Bilancio Avis'!B1:G1</f>
        <v xml:space="preserve">Avis Comunale di Brescia </v>
      </c>
      <c r="C38" s="82"/>
    </row>
    <row r="39" spans="1:3" ht="15.75" x14ac:dyDescent="0.25">
      <c r="A39" s="47"/>
      <c r="B39" s="48" t="s">
        <v>369</v>
      </c>
      <c r="C39" s="76"/>
    </row>
    <row r="40" spans="1:3" s="43" customFormat="1" ht="15.75" x14ac:dyDescent="0.25">
      <c r="A40" s="54">
        <v>1</v>
      </c>
      <c r="B40" s="55" t="s">
        <v>23</v>
      </c>
      <c r="C40" s="77">
        <f>SUM(C41:C49)</f>
        <v>157001.5</v>
      </c>
    </row>
    <row r="41" spans="1:3" x14ac:dyDescent="0.25">
      <c r="A41" s="49">
        <v>4.2361111111111106E-2</v>
      </c>
      <c r="B41" s="50" t="s">
        <v>24</v>
      </c>
      <c r="C41" s="88">
        <f>'Bilancio Avis'!I42</f>
        <v>0</v>
      </c>
    </row>
    <row r="42" spans="1:3" x14ac:dyDescent="0.25">
      <c r="A42" s="49">
        <v>4.3055555555555562E-2</v>
      </c>
      <c r="B42" s="50" t="s">
        <v>25</v>
      </c>
      <c r="C42" s="88">
        <f>'Bilancio Avis'!I38+'Bilancio Avis'!I39+'Bilancio Avis'!I40</f>
        <v>156341.5</v>
      </c>
    </row>
    <row r="43" spans="1:3" x14ac:dyDescent="0.25">
      <c r="A43" s="49">
        <v>4.3750000000000004E-2</v>
      </c>
      <c r="B43" s="50" t="s">
        <v>26</v>
      </c>
      <c r="C43" s="88">
        <f>'Bilancio Avis'!I46</f>
        <v>0</v>
      </c>
    </row>
    <row r="44" spans="1:3" x14ac:dyDescent="0.25">
      <c r="A44" s="49">
        <v>4.4444444444444446E-2</v>
      </c>
      <c r="B44" s="50" t="s">
        <v>27</v>
      </c>
      <c r="C44" s="88">
        <f>'Bilancio Avis'!I44</f>
        <v>0</v>
      </c>
    </row>
    <row r="45" spans="1:3" x14ac:dyDescent="0.25">
      <c r="A45" s="49">
        <v>4.5138888888888888E-2</v>
      </c>
      <c r="B45" s="50" t="s">
        <v>28</v>
      </c>
      <c r="C45" s="88">
        <f>'Bilancio Avis'!I45</f>
        <v>660</v>
      </c>
    </row>
    <row r="46" spans="1:3" x14ac:dyDescent="0.25">
      <c r="A46" s="49">
        <v>4.5833333333333337E-2</v>
      </c>
      <c r="B46" s="50" t="s">
        <v>29</v>
      </c>
      <c r="C46" s="88">
        <v>0</v>
      </c>
    </row>
    <row r="47" spans="1:3" x14ac:dyDescent="0.25">
      <c r="A47" s="49">
        <v>4.6527777777777779E-2</v>
      </c>
      <c r="B47" s="50" t="s">
        <v>30</v>
      </c>
      <c r="C47" s="88">
        <f>'Bilancio Avis'!I49</f>
        <v>0</v>
      </c>
    </row>
    <row r="48" spans="1:3" x14ac:dyDescent="0.25">
      <c r="A48" s="49">
        <v>4.7222222222222221E-2</v>
      </c>
      <c r="B48" s="50" t="s">
        <v>31</v>
      </c>
      <c r="C48" s="88">
        <v>0</v>
      </c>
    </row>
    <row r="49" spans="1:3" x14ac:dyDescent="0.25">
      <c r="A49" s="49">
        <v>4.7916666666666663E-2</v>
      </c>
      <c r="B49" s="50" t="s">
        <v>32</v>
      </c>
      <c r="C49" s="88">
        <f>'Bilancio Avis'!I48+'Bilancio Avis'!I53</f>
        <v>0</v>
      </c>
    </row>
    <row r="50" spans="1:3" x14ac:dyDescent="0.25">
      <c r="A50" s="51"/>
      <c r="B50" s="52"/>
      <c r="C50" s="79"/>
    </row>
    <row r="51" spans="1:3" s="43" customFormat="1" ht="15.75" x14ac:dyDescent="0.25">
      <c r="A51" s="54">
        <v>2</v>
      </c>
      <c r="B51" s="55" t="s">
        <v>33</v>
      </c>
      <c r="C51" s="77">
        <f>C52</f>
        <v>0</v>
      </c>
    </row>
    <row r="52" spans="1:3" x14ac:dyDescent="0.25">
      <c r="A52" s="49">
        <v>8.4027777777777771E-2</v>
      </c>
      <c r="B52" s="50" t="s">
        <v>34</v>
      </c>
      <c r="C52" s="79">
        <v>0</v>
      </c>
    </row>
    <row r="53" spans="1:3" x14ac:dyDescent="0.25">
      <c r="A53" s="51"/>
      <c r="B53" s="52"/>
      <c r="C53" s="79"/>
    </row>
    <row r="54" spans="1:3" s="43" customFormat="1" ht="15.75" x14ac:dyDescent="0.25">
      <c r="A54" s="54">
        <v>3</v>
      </c>
      <c r="B54" s="55" t="s">
        <v>35</v>
      </c>
      <c r="C54" s="77">
        <f>C55</f>
        <v>0</v>
      </c>
    </row>
    <row r="55" spans="1:3" x14ac:dyDescent="0.25">
      <c r="A55" s="49">
        <v>0.12569444444444444</v>
      </c>
      <c r="B55" s="50" t="s">
        <v>14</v>
      </c>
      <c r="C55" s="88">
        <f>'Bilancio Avis'!I43</f>
        <v>0</v>
      </c>
    </row>
    <row r="56" spans="1:3" x14ac:dyDescent="0.25">
      <c r="A56" s="51"/>
      <c r="B56" s="52"/>
      <c r="C56" s="79"/>
    </row>
    <row r="57" spans="1:3" s="43" customFormat="1" ht="15.75" x14ac:dyDescent="0.25">
      <c r="A57" s="54">
        <v>4</v>
      </c>
      <c r="B57" s="55" t="s">
        <v>36</v>
      </c>
      <c r="C57" s="77">
        <f>SUM(C58:C62)</f>
        <v>844.56999999999994</v>
      </c>
    </row>
    <row r="58" spans="1:3" x14ac:dyDescent="0.25">
      <c r="A58" s="49">
        <v>0.1673611111111111</v>
      </c>
      <c r="B58" s="50" t="s">
        <v>37</v>
      </c>
      <c r="C58" s="88">
        <f>'Bilancio Avis'!I51</f>
        <v>826.55</v>
      </c>
    </row>
    <row r="59" spans="1:3" x14ac:dyDescent="0.25">
      <c r="A59" s="49">
        <v>0.16805555555555554</v>
      </c>
      <c r="B59" s="50" t="s">
        <v>38</v>
      </c>
      <c r="C59" s="88">
        <v>0</v>
      </c>
    </row>
    <row r="60" spans="1:3" x14ac:dyDescent="0.25">
      <c r="A60" s="49">
        <v>0.16874999999999998</v>
      </c>
      <c r="B60" s="50" t="s">
        <v>18</v>
      </c>
      <c r="C60" s="88">
        <f>'Bilancio Avis'!I47</f>
        <v>0</v>
      </c>
    </row>
    <row r="61" spans="1:3" x14ac:dyDescent="0.25">
      <c r="A61" s="49">
        <v>0.16944444444444443</v>
      </c>
      <c r="B61" s="50" t="s">
        <v>19</v>
      </c>
      <c r="C61" s="88">
        <v>0</v>
      </c>
    </row>
    <row r="62" spans="1:3" x14ac:dyDescent="0.25">
      <c r="A62" s="49">
        <v>0.17013888888888887</v>
      </c>
      <c r="B62" s="50" t="s">
        <v>39</v>
      </c>
      <c r="C62" s="88">
        <f>'Bilancio Avis'!I54+'Bilancio Avis'!I52</f>
        <v>18.02</v>
      </c>
    </row>
    <row r="63" spans="1:3" x14ac:dyDescent="0.25">
      <c r="A63" s="49"/>
      <c r="B63" s="50"/>
      <c r="C63" s="78"/>
    </row>
    <row r="64" spans="1:3" ht="15.75" x14ac:dyDescent="0.25">
      <c r="A64" s="70"/>
      <c r="B64" s="64" t="s">
        <v>374</v>
      </c>
      <c r="C64" s="80">
        <f>C40+C51+C54+C57</f>
        <v>157846.07</v>
      </c>
    </row>
    <row r="65" spans="1:3" s="44" customFormat="1" ht="15.75" customHeight="1" x14ac:dyDescent="0.25">
      <c r="A65" s="56"/>
      <c r="B65" s="64" t="s">
        <v>40</v>
      </c>
      <c r="C65" s="81">
        <f>IF('Bilancio Avis'!I55&lt;'Bilancio Avis'!I123, ('Bilancio Avis'!I123-'Bilancio Avis'!I55), "-")</f>
        <v>10253.049999999988</v>
      </c>
    </row>
    <row r="66" spans="1:3" x14ac:dyDescent="0.25"/>
    <row r="67" spans="1:3" x14ac:dyDescent="0.25">
      <c r="A67" s="46"/>
      <c r="B67" s="42"/>
    </row>
    <row r="68" spans="1:3" ht="17.25" x14ac:dyDescent="0.25">
      <c r="A68" s="72" t="s">
        <v>372</v>
      </c>
      <c r="B68" s="66"/>
      <c r="C68" s="84"/>
    </row>
    <row r="69" spans="1:3" s="53" customFormat="1" ht="15.75" x14ac:dyDescent="0.25">
      <c r="A69" s="61" t="s">
        <v>41</v>
      </c>
      <c r="B69" s="62" t="s">
        <v>42</v>
      </c>
      <c r="C69" s="85">
        <v>0</v>
      </c>
    </row>
    <row r="70" spans="1:3" x14ac:dyDescent="0.25">
      <c r="A70" s="57" t="s">
        <v>43</v>
      </c>
      <c r="B70" s="58" t="s">
        <v>42</v>
      </c>
      <c r="C70" s="86">
        <v>0</v>
      </c>
    </row>
    <row r="71" spans="1:3" x14ac:dyDescent="0.25">
      <c r="A71" s="59"/>
      <c r="B71" s="60"/>
      <c r="C71" s="86"/>
    </row>
    <row r="72" spans="1:3" s="53" customFormat="1" ht="15.75" x14ac:dyDescent="0.25">
      <c r="A72" s="61" t="s">
        <v>44</v>
      </c>
      <c r="B72" s="62" t="s">
        <v>45</v>
      </c>
      <c r="C72" s="85">
        <f>SUM(C73:C77)</f>
        <v>0</v>
      </c>
    </row>
    <row r="73" spans="1:3" x14ac:dyDescent="0.25">
      <c r="A73" s="57" t="s">
        <v>46</v>
      </c>
      <c r="B73" s="58" t="s">
        <v>47</v>
      </c>
      <c r="C73" s="86">
        <v>0</v>
      </c>
    </row>
    <row r="74" spans="1:3" ht="30" x14ac:dyDescent="0.25">
      <c r="A74" s="57" t="s">
        <v>48</v>
      </c>
      <c r="B74" s="58" t="s">
        <v>49</v>
      </c>
      <c r="C74" s="86">
        <v>0</v>
      </c>
    </row>
    <row r="75" spans="1:3" x14ac:dyDescent="0.25">
      <c r="A75" s="57" t="s">
        <v>50</v>
      </c>
      <c r="B75" s="58" t="s">
        <v>51</v>
      </c>
      <c r="C75" s="86">
        <v>0</v>
      </c>
    </row>
    <row r="76" spans="1:3" x14ac:dyDescent="0.25">
      <c r="A76" s="57" t="s">
        <v>52</v>
      </c>
      <c r="B76" s="58" t="s">
        <v>53</v>
      </c>
      <c r="C76" s="86">
        <v>0</v>
      </c>
    </row>
    <row r="77" spans="1:3" x14ac:dyDescent="0.25">
      <c r="A77" s="57" t="s">
        <v>54</v>
      </c>
      <c r="B77" s="58" t="s">
        <v>55</v>
      </c>
      <c r="C77" s="86">
        <v>0</v>
      </c>
    </row>
    <row r="78" spans="1:3" x14ac:dyDescent="0.25">
      <c r="A78" s="59"/>
      <c r="B78" s="60"/>
      <c r="C78" s="86"/>
    </row>
    <row r="79" spans="1:3" s="53" customFormat="1" ht="15.75" x14ac:dyDescent="0.25">
      <c r="A79" s="61" t="s">
        <v>56</v>
      </c>
      <c r="B79" s="62" t="s">
        <v>57</v>
      </c>
      <c r="C79" s="85">
        <f>SUM(C80:C83)-'Bilancio Avis'!I27</f>
        <v>2911.5400000000009</v>
      </c>
    </row>
    <row r="80" spans="1:3" x14ac:dyDescent="0.25">
      <c r="A80" s="57" t="s">
        <v>58</v>
      </c>
      <c r="B80" s="58" t="s">
        <v>59</v>
      </c>
      <c r="C80" s="90">
        <f>'Bilancio Avis'!I4</f>
        <v>0</v>
      </c>
    </row>
    <row r="81" spans="1:3" x14ac:dyDescent="0.25">
      <c r="A81" s="57" t="s">
        <v>60</v>
      </c>
      <c r="B81" s="58" t="s">
        <v>61</v>
      </c>
      <c r="C81" s="90">
        <f>'Bilancio Avis'!I7+'Bilancio Avis'!I8</f>
        <v>45504.21</v>
      </c>
    </row>
    <row r="82" spans="1:3" x14ac:dyDescent="0.25">
      <c r="A82" s="57" t="s">
        <v>62</v>
      </c>
      <c r="B82" s="58" t="s">
        <v>63</v>
      </c>
      <c r="C82" s="90">
        <f>'Bilancio Avis'!I6+'Bilancio Avis'!I15</f>
        <v>72</v>
      </c>
    </row>
    <row r="83" spans="1:3" x14ac:dyDescent="0.25">
      <c r="A83" s="57" t="s">
        <v>64</v>
      </c>
      <c r="B83" s="58" t="s">
        <v>65</v>
      </c>
      <c r="C83" s="90">
        <v>0</v>
      </c>
    </row>
    <row r="84" spans="1:3" x14ac:dyDescent="0.25">
      <c r="A84" s="57"/>
      <c r="B84" s="58"/>
      <c r="C84" s="86"/>
    </row>
    <row r="85" spans="1:3" s="53" customFormat="1" ht="15.75" x14ac:dyDescent="0.25">
      <c r="A85" s="61" t="s">
        <v>66</v>
      </c>
      <c r="B85" s="62" t="s">
        <v>67</v>
      </c>
      <c r="C85" s="85">
        <f>SUM(C86:C88)</f>
        <v>70000</v>
      </c>
    </row>
    <row r="86" spans="1:3" x14ac:dyDescent="0.25">
      <c r="A86" s="57" t="s">
        <v>68</v>
      </c>
      <c r="B86" s="58" t="s">
        <v>69</v>
      </c>
      <c r="C86" s="90">
        <v>0</v>
      </c>
    </row>
    <row r="87" spans="1:3" x14ac:dyDescent="0.25">
      <c r="A87" s="57" t="s">
        <v>70</v>
      </c>
      <c r="B87" s="58" t="s">
        <v>365</v>
      </c>
      <c r="C87" s="90">
        <v>0</v>
      </c>
    </row>
    <row r="88" spans="1:3" x14ac:dyDescent="0.25">
      <c r="A88" s="57" t="s">
        <v>71</v>
      </c>
      <c r="B88" s="58" t="s">
        <v>72</v>
      </c>
      <c r="C88" s="90">
        <f>'Bilancio Avis'!I10</f>
        <v>70000</v>
      </c>
    </row>
    <row r="89" spans="1:3" x14ac:dyDescent="0.25">
      <c r="A89" s="59"/>
      <c r="B89" s="60"/>
      <c r="C89" s="86"/>
    </row>
    <row r="90" spans="1:3" s="53" customFormat="1" ht="15.75" x14ac:dyDescent="0.25">
      <c r="A90" s="61" t="s">
        <v>73</v>
      </c>
      <c r="B90" s="62" t="s">
        <v>74</v>
      </c>
      <c r="C90" s="85">
        <f>SUM(C91:C95)</f>
        <v>0</v>
      </c>
    </row>
    <row r="91" spans="1:3" x14ac:dyDescent="0.25">
      <c r="A91" s="57" t="s">
        <v>75</v>
      </c>
      <c r="B91" s="58" t="s">
        <v>76</v>
      </c>
      <c r="C91" s="90">
        <f>'Bilancio Avis'!I9</f>
        <v>0</v>
      </c>
    </row>
    <row r="92" spans="1:3" x14ac:dyDescent="0.25">
      <c r="A92" s="57" t="s">
        <v>77</v>
      </c>
      <c r="B92" s="58" t="s">
        <v>78</v>
      </c>
      <c r="C92" s="90">
        <v>0</v>
      </c>
    </row>
    <row r="93" spans="1:3" x14ac:dyDescent="0.25">
      <c r="A93" s="57" t="s">
        <v>79</v>
      </c>
      <c r="B93" s="58" t="s">
        <v>80</v>
      </c>
      <c r="C93" s="90">
        <v>0</v>
      </c>
    </row>
    <row r="94" spans="1:3" x14ac:dyDescent="0.25">
      <c r="A94" s="57" t="s">
        <v>81</v>
      </c>
      <c r="B94" s="58" t="s">
        <v>82</v>
      </c>
      <c r="C94" s="90">
        <v>0</v>
      </c>
    </row>
    <row r="95" spans="1:3" x14ac:dyDescent="0.25">
      <c r="A95" s="57" t="s">
        <v>83</v>
      </c>
      <c r="B95" s="58" t="s">
        <v>84</v>
      </c>
      <c r="C95" s="90">
        <v>0</v>
      </c>
    </row>
    <row r="96" spans="1:3" x14ac:dyDescent="0.25">
      <c r="A96" s="57"/>
      <c r="B96" s="58"/>
      <c r="C96" s="86"/>
    </row>
    <row r="97" spans="1:3" s="53" customFormat="1" ht="15.75" x14ac:dyDescent="0.25">
      <c r="A97" s="61" t="s">
        <v>85</v>
      </c>
      <c r="B97" s="62" t="s">
        <v>86</v>
      </c>
      <c r="C97" s="85">
        <f>SUM(C98:C99)</f>
        <v>76589.66</v>
      </c>
    </row>
    <row r="98" spans="1:3" x14ac:dyDescent="0.25">
      <c r="A98" s="57" t="s">
        <v>87</v>
      </c>
      <c r="B98" s="58" t="s">
        <v>366</v>
      </c>
      <c r="C98" s="90">
        <f>'Bilancio Avis'!I13+'Bilancio Avis'!I14</f>
        <v>76589.66</v>
      </c>
    </row>
    <row r="99" spans="1:3" x14ac:dyDescent="0.25">
      <c r="A99" s="57" t="s">
        <v>88</v>
      </c>
      <c r="B99" s="58" t="s">
        <v>367</v>
      </c>
      <c r="C99" s="90">
        <v>0</v>
      </c>
    </row>
    <row r="100" spans="1:3" x14ac:dyDescent="0.25">
      <c r="A100" s="57"/>
      <c r="B100" s="58"/>
      <c r="C100" s="86"/>
    </row>
    <row r="101" spans="1:3" s="53" customFormat="1" ht="15.75" x14ac:dyDescent="0.25">
      <c r="A101" s="61" t="s">
        <v>89</v>
      </c>
      <c r="B101" s="62" t="s">
        <v>90</v>
      </c>
      <c r="C101" s="85">
        <f>SUM(C102:C103)</f>
        <v>0</v>
      </c>
    </row>
    <row r="102" spans="1:3" x14ac:dyDescent="0.25">
      <c r="A102" s="57" t="s">
        <v>91</v>
      </c>
      <c r="B102" s="58" t="s">
        <v>69</v>
      </c>
      <c r="C102" s="90">
        <v>0</v>
      </c>
    </row>
    <row r="103" spans="1:3" x14ac:dyDescent="0.25">
      <c r="A103" s="57" t="s">
        <v>92</v>
      </c>
      <c r="B103" s="58" t="s">
        <v>72</v>
      </c>
      <c r="C103" s="90">
        <v>0</v>
      </c>
    </row>
    <row r="104" spans="1:3" x14ac:dyDescent="0.25">
      <c r="A104" s="57"/>
      <c r="B104" s="58"/>
      <c r="C104" s="86"/>
    </row>
    <row r="105" spans="1:3" s="53" customFormat="1" ht="15.75" x14ac:dyDescent="0.25">
      <c r="A105" s="61" t="s">
        <v>93</v>
      </c>
      <c r="B105" s="62" t="s">
        <v>94</v>
      </c>
      <c r="C105" s="85">
        <f>SUM(C106:C108)</f>
        <v>21504.97</v>
      </c>
    </row>
    <row r="106" spans="1:3" x14ac:dyDescent="0.25">
      <c r="A106" s="57" t="s">
        <v>95</v>
      </c>
      <c r="B106" s="58" t="s">
        <v>96</v>
      </c>
      <c r="C106" s="90">
        <f>'Bilancio Avis'!I11</f>
        <v>20955.95</v>
      </c>
    </row>
    <row r="107" spans="1:3" x14ac:dyDescent="0.25">
      <c r="A107" s="57" t="s">
        <v>97</v>
      </c>
      <c r="B107" s="58" t="s">
        <v>98</v>
      </c>
      <c r="C107" s="90">
        <v>0</v>
      </c>
    </row>
    <row r="108" spans="1:3" x14ac:dyDescent="0.25">
      <c r="A108" s="57" t="s">
        <v>99</v>
      </c>
      <c r="B108" s="58" t="s">
        <v>100</v>
      </c>
      <c r="C108" s="90">
        <f>'Bilancio Avis'!I12</f>
        <v>549.02</v>
      </c>
    </row>
    <row r="109" spans="1:3" x14ac:dyDescent="0.25">
      <c r="A109" s="59"/>
      <c r="B109" s="60"/>
      <c r="C109" s="86"/>
    </row>
    <row r="110" spans="1:3" s="53" customFormat="1" ht="15.75" x14ac:dyDescent="0.25">
      <c r="A110" s="61" t="s">
        <v>101</v>
      </c>
      <c r="B110" s="62" t="s">
        <v>102</v>
      </c>
      <c r="C110" s="85">
        <f>SUM(C111)</f>
        <v>3240.39</v>
      </c>
    </row>
    <row r="111" spans="1:3" x14ac:dyDescent="0.25">
      <c r="A111" s="57" t="s">
        <v>103</v>
      </c>
      <c r="B111" s="58" t="s">
        <v>102</v>
      </c>
      <c r="C111" s="90">
        <f>'Bilancio Avis'!I16</f>
        <v>3240.39</v>
      </c>
    </row>
    <row r="112" spans="1:3" x14ac:dyDescent="0.25">
      <c r="A112" s="57"/>
      <c r="B112" s="58"/>
      <c r="C112" s="87"/>
    </row>
    <row r="113" spans="1:3" s="44" customFormat="1" ht="15.75" customHeight="1" x14ac:dyDescent="0.25">
      <c r="A113" s="63"/>
      <c r="B113" s="67" t="s">
        <v>104</v>
      </c>
      <c r="C113" s="85">
        <f>C69+C72+C79+C85+C90+C97+C101+C105+C110</f>
        <v>174246.56000000003</v>
      </c>
    </row>
    <row r="114" spans="1:3" x14ac:dyDescent="0.25"/>
    <row r="115" spans="1:3" s="53" customFormat="1" ht="15.75" x14ac:dyDescent="0.25">
      <c r="A115" s="61" t="s">
        <v>105</v>
      </c>
      <c r="B115" s="62" t="s">
        <v>106</v>
      </c>
      <c r="C115" s="85">
        <f>SUM(C116)</f>
        <v>0</v>
      </c>
    </row>
    <row r="116" spans="1:3" ht="15.75" customHeight="1" x14ac:dyDescent="0.25">
      <c r="A116" s="57" t="s">
        <v>107</v>
      </c>
      <c r="B116" s="58" t="s">
        <v>106</v>
      </c>
      <c r="C116" s="90">
        <v>0</v>
      </c>
    </row>
    <row r="117" spans="1:3" x14ac:dyDescent="0.25">
      <c r="A117" s="59"/>
      <c r="B117" s="60"/>
      <c r="C117" s="86"/>
    </row>
    <row r="118" spans="1:3" s="53" customFormat="1" ht="15.75" x14ac:dyDescent="0.25">
      <c r="A118" s="61" t="s">
        <v>108</v>
      </c>
      <c r="B118" s="62" t="s">
        <v>109</v>
      </c>
      <c r="C118" s="85">
        <f>SUM(C119:C121)</f>
        <v>144781.51</v>
      </c>
    </row>
    <row r="119" spans="1:3" ht="15.75" customHeight="1" x14ac:dyDescent="0.25">
      <c r="A119" s="57" t="s">
        <v>110</v>
      </c>
      <c r="B119" s="58" t="s">
        <v>111</v>
      </c>
      <c r="C119" s="90">
        <f>'Bilancio Avis'!I28</f>
        <v>144781.51</v>
      </c>
    </row>
    <row r="120" spans="1:3" ht="15.75" customHeight="1" x14ac:dyDescent="0.25">
      <c r="A120" s="57" t="s">
        <v>112</v>
      </c>
      <c r="B120" s="58" t="s">
        <v>113</v>
      </c>
      <c r="C120" s="90">
        <f>'Bilancio Avis'!I30</f>
        <v>0</v>
      </c>
    </row>
    <row r="121" spans="1:3" ht="15.75" customHeight="1" x14ac:dyDescent="0.25">
      <c r="A121" s="57" t="s">
        <v>114</v>
      </c>
      <c r="B121" s="58" t="s">
        <v>115</v>
      </c>
      <c r="C121" s="90">
        <v>0</v>
      </c>
    </row>
    <row r="122" spans="1:3" x14ac:dyDescent="0.25">
      <c r="A122" s="59"/>
      <c r="B122" s="60"/>
      <c r="C122" s="90"/>
    </row>
    <row r="123" spans="1:3" s="53" customFormat="1" ht="15.75" x14ac:dyDescent="0.25">
      <c r="A123" s="61" t="s">
        <v>116</v>
      </c>
      <c r="B123" s="62" t="s">
        <v>117</v>
      </c>
      <c r="C123" s="85">
        <f>SUM(C124:C125)</f>
        <v>-10253.02</v>
      </c>
    </row>
    <row r="124" spans="1:3" ht="15.75" customHeight="1" x14ac:dyDescent="0.25">
      <c r="A124" s="57" t="s">
        <v>118</v>
      </c>
      <c r="B124" s="58" t="s">
        <v>119</v>
      </c>
      <c r="C124" s="90">
        <f>'Bilancio Avis'!I32-'Bilancio Avis'!I17</f>
        <v>-10253.02</v>
      </c>
    </row>
    <row r="125" spans="1:3" ht="15.75" customHeight="1" x14ac:dyDescent="0.25">
      <c r="A125" s="57" t="s">
        <v>120</v>
      </c>
      <c r="B125" s="58" t="s">
        <v>121</v>
      </c>
      <c r="C125" s="90">
        <v>0</v>
      </c>
    </row>
    <row r="126" spans="1:3" x14ac:dyDescent="0.25">
      <c r="A126" s="59"/>
      <c r="B126" s="60"/>
      <c r="C126" s="90"/>
    </row>
    <row r="127" spans="1:3" s="53" customFormat="1" ht="15.75" x14ac:dyDescent="0.25">
      <c r="A127" s="61" t="s">
        <v>122</v>
      </c>
      <c r="B127" s="62" t="s">
        <v>123</v>
      </c>
      <c r="C127" s="85">
        <f>SUM(C128:C129)</f>
        <v>0</v>
      </c>
    </row>
    <row r="128" spans="1:3" ht="15.75" customHeight="1" x14ac:dyDescent="0.25">
      <c r="A128" s="57" t="s">
        <v>124</v>
      </c>
      <c r="B128" s="58" t="s">
        <v>125</v>
      </c>
      <c r="C128" s="90">
        <v>0</v>
      </c>
    </row>
    <row r="129" spans="1:3" ht="15.75" customHeight="1" x14ac:dyDescent="0.25">
      <c r="A129" s="57" t="s">
        <v>126</v>
      </c>
      <c r="B129" s="58" t="s">
        <v>127</v>
      </c>
      <c r="C129" s="90">
        <v>0</v>
      </c>
    </row>
    <row r="130" spans="1:3" x14ac:dyDescent="0.25">
      <c r="A130" s="59"/>
      <c r="B130" s="60"/>
      <c r="C130" s="86"/>
    </row>
    <row r="131" spans="1:3" s="53" customFormat="1" ht="31.5" x14ac:dyDescent="0.25">
      <c r="A131" s="61" t="s">
        <v>128</v>
      </c>
      <c r="B131" s="62" t="s">
        <v>129</v>
      </c>
      <c r="C131" s="85">
        <f>SUM(C132)</f>
        <v>25735.96</v>
      </c>
    </row>
    <row r="132" spans="1:3" ht="15.75" customHeight="1" x14ac:dyDescent="0.25">
      <c r="A132" s="57" t="s">
        <v>130</v>
      </c>
      <c r="B132" s="58" t="s">
        <v>129</v>
      </c>
      <c r="C132" s="90">
        <f>'Bilancio Avis'!I26</f>
        <v>25735.96</v>
      </c>
    </row>
    <row r="133" spans="1:3" x14ac:dyDescent="0.25">
      <c r="A133" s="59"/>
      <c r="B133" s="60"/>
      <c r="C133" s="86"/>
    </row>
    <row r="134" spans="1:3" s="53" customFormat="1" ht="15.75" x14ac:dyDescent="0.25">
      <c r="A134" s="61" t="s">
        <v>131</v>
      </c>
      <c r="B134" s="62" t="s">
        <v>132</v>
      </c>
      <c r="C134" s="85">
        <f>SUM(C135:C141)</f>
        <v>16402.59</v>
      </c>
    </row>
    <row r="135" spans="1:3" ht="30" x14ac:dyDescent="0.25">
      <c r="A135" s="57" t="s">
        <v>133</v>
      </c>
      <c r="B135" s="58" t="s">
        <v>134</v>
      </c>
      <c r="C135" s="90">
        <f>'Bilancio Avis'!I22</f>
        <v>0</v>
      </c>
    </row>
    <row r="136" spans="1:3" ht="30" x14ac:dyDescent="0.25">
      <c r="A136" s="57" t="s">
        <v>135</v>
      </c>
      <c r="B136" s="58" t="s">
        <v>136</v>
      </c>
      <c r="C136" s="90">
        <v>0</v>
      </c>
    </row>
    <row r="137" spans="1:3" ht="30" x14ac:dyDescent="0.25">
      <c r="A137" s="57" t="s">
        <v>137</v>
      </c>
      <c r="B137" s="58" t="s">
        <v>138</v>
      </c>
      <c r="C137" s="90">
        <v>0</v>
      </c>
    </row>
    <row r="138" spans="1:3" ht="30" x14ac:dyDescent="0.25">
      <c r="A138" s="57" t="s">
        <v>139</v>
      </c>
      <c r="B138" s="58" t="s">
        <v>140</v>
      </c>
      <c r="C138" s="90">
        <f>'Bilancio Avis'!I24</f>
        <v>0</v>
      </c>
    </row>
    <row r="139" spans="1:3" ht="30" x14ac:dyDescent="0.25">
      <c r="A139" s="57" t="s">
        <v>141</v>
      </c>
      <c r="B139" s="58" t="s">
        <v>142</v>
      </c>
      <c r="C139" s="90">
        <v>0</v>
      </c>
    </row>
    <row r="140" spans="1:3" ht="30" x14ac:dyDescent="0.25">
      <c r="A140" s="57" t="s">
        <v>143</v>
      </c>
      <c r="B140" s="58" t="s">
        <v>144</v>
      </c>
      <c r="C140" s="90">
        <f>'Bilancio Avis'!I21</f>
        <v>4578.6100000000006</v>
      </c>
    </row>
    <row r="141" spans="1:3" ht="30" x14ac:dyDescent="0.25">
      <c r="A141" s="57" t="s">
        <v>145</v>
      </c>
      <c r="B141" s="58" t="s">
        <v>146</v>
      </c>
      <c r="C141" s="90">
        <f>'Bilancio Avis'!I20+'Bilancio Avis'!I23+'Bilancio Avis'!I25</f>
        <v>11823.98</v>
      </c>
    </row>
    <row r="142" spans="1:3" x14ac:dyDescent="0.25">
      <c r="A142" s="59"/>
      <c r="B142" s="60"/>
      <c r="C142" s="86"/>
    </row>
    <row r="143" spans="1:3" s="53" customFormat="1" ht="15.75" x14ac:dyDescent="0.25">
      <c r="A143" s="61" t="s">
        <v>147</v>
      </c>
      <c r="B143" s="62" t="s">
        <v>102</v>
      </c>
      <c r="C143" s="85">
        <f>SUM(C144)</f>
        <v>0</v>
      </c>
    </row>
    <row r="144" spans="1:3" ht="15.75" customHeight="1" x14ac:dyDescent="0.25">
      <c r="A144" s="57" t="s">
        <v>148</v>
      </c>
      <c r="B144" s="58" t="s">
        <v>102</v>
      </c>
      <c r="C144" s="90">
        <f>'Bilancio Avis'!I29</f>
        <v>0</v>
      </c>
    </row>
    <row r="145" spans="1:3" x14ac:dyDescent="0.25">
      <c r="A145" s="59"/>
      <c r="B145" s="60"/>
      <c r="C145" s="86"/>
    </row>
    <row r="146" spans="1:3" s="44" customFormat="1" ht="15.75" customHeight="1" x14ac:dyDescent="0.25">
      <c r="A146" s="63"/>
      <c r="B146" s="61" t="s">
        <v>149</v>
      </c>
      <c r="C146" s="85">
        <f>C115+C118+C123+C127+C131+C134+C143</f>
        <v>176667.04</v>
      </c>
    </row>
  </sheetData>
  <sheetProtection sheet="1"/>
  <phoneticPr fontId="22" type="noConversion"/>
  <printOptions horizontalCentered="1"/>
  <pageMargins left="0.25" right="0.25" top="0.75" bottom="0.75" header="0.3" footer="0.3"/>
  <pageSetup paperSize="9" fitToHeight="0" orientation="portrait" r:id="rId1"/>
  <headerFooter>
    <oddFooter>&amp;A&amp;RPagina &amp;P</oddFooter>
  </headerFooter>
  <rowBreaks count="3" manualBreakCount="3">
    <brk id="37" max="16383" man="1"/>
    <brk id="67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Bilancio Avis</vt:lpstr>
      <vt:lpstr>Rendiconto Gestionale</vt:lpstr>
      <vt:lpstr>'Bilancio Avis'!Area_stampa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AvisCom</cp:lastModifiedBy>
  <cp:lastPrinted>2016-01-25T14:04:34Z</cp:lastPrinted>
  <dcterms:created xsi:type="dcterms:W3CDTF">2011-06-22T13:50:42Z</dcterms:created>
  <dcterms:modified xsi:type="dcterms:W3CDTF">2016-01-28T10:46:49Z</dcterms:modified>
</cp:coreProperties>
</file>